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eustream.local\home\ba\kittro\Práca\2023\LK_Zamykanie\"/>
    </mc:Choice>
  </mc:AlternateContent>
  <xr:revisionPtr revIDLastSave="0" documentId="13_ncr:1_{6F8257E4-3A39-4846-903B-B127625709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ysvetlivky" sheetId="3" r:id="rId1"/>
    <sheet name="benchmarking data" sheetId="2" r:id="rId2"/>
    <sheet name="Referencna cena" sheetId="1" r:id="rId3"/>
  </sheets>
  <definedNames>
    <definedName name="_xlnm.Print_Area" localSheetId="2">'Referencna cena'!$A$1:$P$46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5" i="1" l="1"/>
  <c r="H18" i="1" l="1"/>
  <c r="H32" i="1" s="1"/>
  <c r="H46" i="1" s="1"/>
  <c r="I46" i="1" s="1"/>
  <c r="J46" i="1" s="1"/>
  <c r="K46" i="1" s="1"/>
  <c r="L46" i="1" s="1"/>
  <c r="K5" i="1"/>
  <c r="L5" i="1" s="1"/>
  <c r="J2" i="2"/>
  <c r="H9" i="1" l="1"/>
  <c r="H31" i="1" s="1"/>
  <c r="H45" i="1" s="1"/>
  <c r="J45" i="1" s="1"/>
  <c r="K45" i="1" s="1"/>
  <c r="L45" i="1" s="1"/>
  <c r="E39" i="2"/>
  <c r="E41" i="2" l="1"/>
  <c r="E30" i="2"/>
  <c r="E29" i="2"/>
  <c r="K13" i="2" s="1"/>
  <c r="E28" i="2"/>
  <c r="K12" i="2" s="1"/>
  <c r="E25" i="2"/>
  <c r="E24" i="2"/>
  <c r="E23" i="2"/>
  <c r="E26" i="2" s="1"/>
  <c r="K6" i="2"/>
  <c r="I6" i="2"/>
  <c r="L15" i="2" l="1"/>
  <c r="K15" i="2"/>
  <c r="J15" i="2"/>
  <c r="I15" i="2"/>
  <c r="E27" i="2"/>
  <c r="J11" i="2" s="1"/>
  <c r="L14" i="2"/>
  <c r="K14" i="2"/>
  <c r="J14" i="2"/>
  <c r="I14" i="2"/>
  <c r="I9" i="2"/>
  <c r="I13" i="2"/>
  <c r="I12" i="2"/>
  <c r="K9" i="2"/>
  <c r="I7" i="2"/>
  <c r="I10" i="2"/>
  <c r="K7" i="2"/>
  <c r="K10" i="2"/>
  <c r="I8" i="2"/>
  <c r="K8" i="2"/>
  <c r="L6" i="2"/>
  <c r="L7" i="2"/>
  <c r="L8" i="2"/>
  <c r="L9" i="2"/>
  <c r="L10" i="2"/>
  <c r="L12" i="2"/>
  <c r="L13" i="2"/>
  <c r="J6" i="2"/>
  <c r="J7" i="2"/>
  <c r="J8" i="2"/>
  <c r="J9" i="2"/>
  <c r="J10" i="2"/>
  <c r="J12" i="2"/>
  <c r="J13" i="2"/>
  <c r="K11" i="2" l="1"/>
  <c r="L11" i="2"/>
  <c r="I11" i="2"/>
  <c r="K17" i="2"/>
  <c r="I17" i="2"/>
  <c r="J17" i="2"/>
  <c r="L17" i="2"/>
  <c r="I18" i="2" l="1"/>
  <c r="H34" i="1" s="1"/>
  <c r="K18" i="2"/>
  <c r="H35" i="1" s="1"/>
  <c r="H40" i="1" l="1"/>
  <c r="H39" i="1"/>
  <c r="H38" i="1"/>
  <c r="H37" i="1"/>
</calcChain>
</file>

<file path=xl/sharedStrings.xml><?xml version="1.0" encoding="utf-8"?>
<sst xmlns="http://schemas.openxmlformats.org/spreadsheetml/2006/main" count="141" uniqueCount="81">
  <si>
    <t>rok</t>
  </si>
  <si>
    <t>jednotka</t>
  </si>
  <si>
    <t>mEUR</t>
  </si>
  <si>
    <t>%</t>
  </si>
  <si>
    <t>Predpovedaná zmluvná kapacita na vstupných bodoch</t>
  </si>
  <si>
    <t>MWh/d</t>
  </si>
  <si>
    <t>Lanžhot</t>
  </si>
  <si>
    <t>Baumgarten</t>
  </si>
  <si>
    <t>Domáci Bod</t>
  </si>
  <si>
    <t>Veľké Zlievce</t>
  </si>
  <si>
    <t>Veľké Kapušany</t>
  </si>
  <si>
    <t>Budince</t>
  </si>
  <si>
    <t>Výrava</t>
  </si>
  <si>
    <t>Pomer vstup/výstup</t>
  </si>
  <si>
    <t>% vstup</t>
  </si>
  <si>
    <t>EUR/MWh/deň/rok</t>
  </si>
  <si>
    <t>Kapacitné cieľové výnosy</t>
  </si>
  <si>
    <t>ENTRY min</t>
  </si>
  <si>
    <t>ENTRY max</t>
  </si>
  <si>
    <t>EXIT min</t>
  </si>
  <si>
    <t>EXIT max</t>
  </si>
  <si>
    <t>Net4Gas</t>
  </si>
  <si>
    <t>CZK</t>
  </si>
  <si>
    <t>MWh/d/y</t>
  </si>
  <si>
    <t>EUR</t>
  </si>
  <si>
    <t>kWh/h/y</t>
  </si>
  <si>
    <t>FGSZ</t>
  </si>
  <si>
    <t>HUF</t>
  </si>
  <si>
    <t>EURct</t>
  </si>
  <si>
    <t>kWh/h/d</t>
  </si>
  <si>
    <t>ontras</t>
  </si>
  <si>
    <t>gascade</t>
  </si>
  <si>
    <t>GRT gaz DE</t>
  </si>
  <si>
    <t>OGE</t>
  </si>
  <si>
    <t>Gaz System - NTS</t>
  </si>
  <si>
    <t>PLNgr</t>
  </si>
  <si>
    <t>Gaz System - Yamal</t>
  </si>
  <si>
    <t>PLN</t>
  </si>
  <si>
    <t>MWh/d/d</t>
  </si>
  <si>
    <t>Austria (GCA, TAG)</t>
  </si>
  <si>
    <t>SNAM</t>
  </si>
  <si>
    <t>Smc/d/y</t>
  </si>
  <si>
    <t>kWh/d/y</t>
  </si>
  <si>
    <t>MWh/h</t>
  </si>
  <si>
    <t>kWh/d/m</t>
  </si>
  <si>
    <t>MWh/h/y</t>
  </si>
  <si>
    <t>GCV</t>
  </si>
  <si>
    <t>kWh/Smc</t>
  </si>
  <si>
    <t>Vstupné údaje</t>
  </si>
  <si>
    <t>Výnosy a tarifa</t>
  </si>
  <si>
    <t>average intervals</t>
  </si>
  <si>
    <t>average of intervals</t>
  </si>
  <si>
    <t>benchmark AVG ENTRY</t>
  </si>
  <si>
    <t>benchmark AVG EXIT</t>
  </si>
  <si>
    <t>Referenčná cena ENTRY, pred sekundárnou úpravou</t>
  </si>
  <si>
    <t>Referenčná cena EXIT, pred sekundárnou úpravou</t>
  </si>
  <si>
    <t>Minimálna Referenčná cena ENTRY, po sekundárnej úprave</t>
  </si>
  <si>
    <t>Maximálna Referenčná cena ENTRY, po sekundárnej úprave</t>
  </si>
  <si>
    <t>Minimálna Referenčná cena EXIT, po sekundárnej úprave</t>
  </si>
  <si>
    <t>Maximálna Referenčná cena EXIT po sekundárnej úprave</t>
  </si>
  <si>
    <t>sekundárna úprava ENTRY - v kompetencii regulačného úradu</t>
  </si>
  <si>
    <t>sekundárna úprava EXIT - v kompetencii regulačného úradu</t>
  </si>
  <si>
    <t>Tarifa</t>
  </si>
  <si>
    <t>jednotky</t>
  </si>
  <si>
    <t>mena</t>
  </si>
  <si>
    <t>PPS</t>
  </si>
  <si>
    <t>výmenný kurz</t>
  </si>
  <si>
    <t>Spoločné  (EUR/MWh/d/y)</t>
  </si>
  <si>
    <t>Finálna referenčná cena ENTRY, po sekundárnej úprave</t>
  </si>
  <si>
    <t>XX</t>
  </si>
  <si>
    <t>vstupné údaje</t>
  </si>
  <si>
    <t>výpočtové pole</t>
  </si>
  <si>
    <t>odkaz</t>
  </si>
  <si>
    <t xml:space="preserve">Disclaimer: Model slúži len na informatívne účely a bol vytvorený prevádzkovateľom prepravnej siete eustream, a.s. za účelom plnenia si legislatívnej povinnosti prevádzkovateľa prepravnej siete eustream, a.s. podľa ustanovení čl. 30 ods. 2 písm. b) TAR NC. Právne záväzné sú príslušné cenové rozhodnutia vydané Úradom pre reguláciu sieťových odvetví. </t>
  </si>
  <si>
    <t>eskalácia 2022 vs 2019</t>
  </si>
  <si>
    <t xml:space="preserve">Pozn. I: Model obsahuje prepočet referenčných cien, ktoré sú pre prepojovacie body EÚ zároveň cenami vyvolávacími. Vyvolávacie ceny pre body iné ako prepojovacie body EÚ vychádzajú z referenčných cien, ale ich finálne stanovenie je založené na odlišnej metodike, vychádzajúcej z národnej legislatívy. </t>
  </si>
  <si>
    <t>Predpovedaná zmluvná kapacita na výstupných bodoch</t>
  </si>
  <si>
    <t>Finálna referenčná cena EXIT, po sekundárnej úprave</t>
  </si>
  <si>
    <t>Inflácia (t-2)</t>
  </si>
  <si>
    <t>TAR NC čl. 30 ods. 2 písm. b) - Informácie týkajúce sa zjednodušeného a pravidelne aktualizovaného tarifného modelu spolu s vysvetlením jeho použitia, ktorý užívateľom siete umožní vypočítať prepravné tarify na aktuálne tarifné obdobie a odhadnúť ich možný vývoj po jeho skončení</t>
  </si>
  <si>
    <t xml:space="preserve">Pozn. II: Pevádzkovateľ prepravnej siete eustream, a.s. taktiež zverejňuje zjednodušený a pravidelne aktualizovaný tarifný model na svojom webovom sídle v časti „Produkty a služby &gt;&gt; Preprava &gt;&gt; Tarify a online výpočet ceny &gt;&gt; Online cenová kalkulačka“ (viď priložený link):
https://tis.eustream.sk/sk/aplikacie/cenova-kalkulacka/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</si>
</sst>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0.0"/>
    <numFmt numFmtId="166" formatCode="0.000%"/>
    <numFmt numFmtId="167" formatCode="#,##0.00000"/>
    <numFmt numFmtId="168" formatCode="0.000"/>
  </numFmts>
  <fonts count="10" x14ac:knownFonts="1"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6" fillId="0" borderId="0"/>
  </cellStyleXfs>
  <cellXfs count="55">
    <xf numFmtId="0" fontId="0" fillId="0" borderId="0" xfId="0"/>
    <xf numFmtId="0" fontId="2" fillId="2" borderId="0" xfId="0" applyFont="1" applyFill="1"/>
    <xf numFmtId="0" fontId="3" fillId="0" borderId="0" xfId="0" applyFont="1"/>
    <xf numFmtId="0" fontId="2" fillId="3" borderId="0" xfId="0" applyFont="1" applyFill="1"/>
    <xf numFmtId="0" fontId="3" fillId="3" borderId="0" xfId="0" applyFont="1" applyFill="1"/>
    <xf numFmtId="0" fontId="4" fillId="0" borderId="0" xfId="0" applyFont="1"/>
    <xf numFmtId="0" fontId="4" fillId="0" borderId="0" xfId="0" applyFont="1" applyAlignment="1" applyProtection="1">
      <alignment horizontal="left"/>
      <protection hidden="1"/>
    </xf>
    <xf numFmtId="3" fontId="4" fillId="0" borderId="0" xfId="0" applyNumberFormat="1" applyFont="1"/>
    <xf numFmtId="0" fontId="3" fillId="0" borderId="0" xfId="0" applyFont="1" applyAlignment="1" applyProtection="1">
      <alignment horizontal="left"/>
      <protection hidden="1"/>
    </xf>
    <xf numFmtId="10" fontId="3" fillId="0" borderId="0" xfId="0" applyNumberFormat="1" applyFont="1"/>
    <xf numFmtId="165" fontId="4" fillId="0" borderId="0" xfId="0" applyNumberFormat="1" applyFont="1"/>
    <xf numFmtId="165" fontId="3" fillId="0" borderId="0" xfId="0" applyNumberFormat="1" applyFont="1"/>
    <xf numFmtId="0" fontId="3" fillId="0" borderId="0" xfId="2" applyFont="1"/>
    <xf numFmtId="166" fontId="3" fillId="0" borderId="1" xfId="2" applyNumberFormat="1" applyFont="1" applyBorder="1"/>
    <xf numFmtId="166" fontId="3" fillId="0" borderId="0" xfId="2" applyNumberFormat="1" applyFont="1"/>
    <xf numFmtId="0" fontId="3" fillId="0" borderId="0" xfId="2" applyFont="1" applyBorder="1"/>
    <xf numFmtId="2" fontId="3" fillId="0" borderId="0" xfId="2" applyNumberFormat="1" applyFont="1" applyBorder="1"/>
    <xf numFmtId="2" fontId="3" fillId="0" borderId="0" xfId="2" applyNumberFormat="1" applyFont="1" applyFill="1" applyBorder="1"/>
    <xf numFmtId="0" fontId="4" fillId="0" borderId="4" xfId="2" applyFont="1" applyBorder="1"/>
    <xf numFmtId="0" fontId="3" fillId="0" borderId="4" xfId="2" applyFont="1" applyBorder="1"/>
    <xf numFmtId="2" fontId="3" fillId="0" borderId="0" xfId="2" applyNumberFormat="1" applyFont="1"/>
    <xf numFmtId="0" fontId="7" fillId="0" borderId="0" xfId="3" applyFont="1" applyFill="1" applyBorder="1"/>
    <xf numFmtId="0" fontId="8" fillId="0" borderId="0" xfId="3" applyFont="1" applyFill="1" applyBorder="1"/>
    <xf numFmtId="3" fontId="3" fillId="0" borderId="0" xfId="3" applyNumberFormat="1" applyFont="1" applyBorder="1"/>
    <xf numFmtId="167" fontId="3" fillId="0" borderId="0" xfId="3" applyNumberFormat="1" applyFont="1" applyBorder="1"/>
    <xf numFmtId="3" fontId="3" fillId="0" borderId="0" xfId="2" applyNumberFormat="1" applyFont="1"/>
    <xf numFmtId="4" fontId="3" fillId="0" borderId="6" xfId="3" applyNumberFormat="1" applyFont="1" applyFill="1" applyBorder="1"/>
    <xf numFmtId="0" fontId="3" fillId="0" borderId="0" xfId="2" applyFont="1" applyFill="1" applyBorder="1"/>
    <xf numFmtId="0" fontId="4" fillId="0" borderId="0" xfId="2" applyFont="1" applyFill="1" applyBorder="1"/>
    <xf numFmtId="4" fontId="3" fillId="0" borderId="0" xfId="3" applyNumberFormat="1" applyFont="1" applyFill="1" applyBorder="1"/>
    <xf numFmtId="0" fontId="0" fillId="5" borderId="0" xfId="0" applyFill="1"/>
    <xf numFmtId="16" fontId="3" fillId="0" borderId="0" xfId="2" applyNumberFormat="1" applyFont="1"/>
    <xf numFmtId="2" fontId="0" fillId="0" borderId="0" xfId="0" applyNumberFormat="1"/>
    <xf numFmtId="168" fontId="3" fillId="0" borderId="0" xfId="2" applyNumberFormat="1" applyFont="1"/>
    <xf numFmtId="14" fontId="3" fillId="0" borderId="4" xfId="2" applyNumberFormat="1" applyFont="1" applyBorder="1"/>
    <xf numFmtId="0" fontId="0" fillId="0" borderId="0" xfId="0" applyFill="1"/>
    <xf numFmtId="2" fontId="3" fillId="0" borderId="0" xfId="0" applyNumberFormat="1" applyFont="1"/>
    <xf numFmtId="0" fontId="5" fillId="2" borderId="2" xfId="2" applyFont="1" applyFill="1" applyBorder="1"/>
    <xf numFmtId="0" fontId="5" fillId="2" borderId="3" xfId="2" applyFont="1" applyFill="1" applyBorder="1"/>
    <xf numFmtId="10" fontId="9" fillId="0" borderId="0" xfId="0" applyNumberFormat="1" applyFont="1"/>
    <xf numFmtId="0" fontId="3" fillId="6" borderId="1" xfId="2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2" fontId="4" fillId="0" borderId="0" xfId="0" applyNumberFormat="1" applyFont="1"/>
    <xf numFmtId="0" fontId="9" fillId="0" borderId="0" xfId="0" applyFont="1" applyAlignment="1">
      <alignment wrapText="1"/>
    </xf>
    <xf numFmtId="0" fontId="3" fillId="6" borderId="1" xfId="2" applyFont="1" applyFill="1" applyBorder="1" applyProtection="1">
      <protection locked="0"/>
    </xf>
    <xf numFmtId="3" fontId="3" fillId="6" borderId="5" xfId="3" applyNumberFormat="1" applyFont="1" applyFill="1" applyBorder="1" applyProtection="1">
      <protection locked="0"/>
    </xf>
    <xf numFmtId="4" fontId="3" fillId="6" borderId="1" xfId="3" applyNumberFormat="1" applyFont="1" applyFill="1" applyBorder="1" applyProtection="1">
      <protection locked="0"/>
    </xf>
    <xf numFmtId="10" fontId="3" fillId="4" borderId="1" xfId="1" applyNumberFormat="1" applyFont="1" applyFill="1" applyBorder="1" applyProtection="1">
      <protection locked="0"/>
    </xf>
    <xf numFmtId="164" fontId="3" fillId="4" borderId="1" xfId="0" applyNumberFormat="1" applyFont="1" applyFill="1" applyBorder="1" applyProtection="1">
      <protection locked="0"/>
    </xf>
    <xf numFmtId="3" fontId="3" fillId="4" borderId="1" xfId="0" applyNumberFormat="1" applyFon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0" fontId="5" fillId="2" borderId="2" xfId="2" applyFont="1" applyFill="1" applyBorder="1" applyAlignment="1">
      <alignment horizontal="center"/>
    </xf>
  </cellXfs>
  <cellStyles count="4">
    <cellStyle name="_x000d__x000a_JournalTemplate=C:\COMFO\CTALK\JOURSTD.TPL_x000d__x000a_LbStateAddress=3 3 0 251 1 89 2 311_x000d__x000a_LbStateJou" xfId="3" xr:uid="{00000000-0005-0000-0000-000000000000}"/>
    <cellStyle name="Normálna" xfId="0" builtinId="0"/>
    <cellStyle name="Normálna 7" xfId="2" xr:uid="{00000000-0005-0000-0000-000002000000}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10"/>
  <sheetViews>
    <sheetView tabSelected="1" workbookViewId="0"/>
  </sheetViews>
  <sheetFormatPr defaultColWidth="8.625" defaultRowHeight="15" x14ac:dyDescent="0.25"/>
  <cols>
    <col min="1" max="1" width="8.625" style="2"/>
    <col min="2" max="2" width="56.125" style="2" customWidth="1"/>
    <col min="3" max="16384" width="8.625" style="2"/>
  </cols>
  <sheetData>
    <row r="1" spans="2:3" ht="81.75" customHeight="1" x14ac:dyDescent="0.25">
      <c r="B1" s="44" t="s">
        <v>79</v>
      </c>
    </row>
    <row r="2" spans="2:3" x14ac:dyDescent="0.25">
      <c r="B2" s="2" t="s">
        <v>70</v>
      </c>
      <c r="C2" s="40" t="s">
        <v>69</v>
      </c>
    </row>
    <row r="3" spans="2:3" x14ac:dyDescent="0.25">
      <c r="B3" s="2" t="s">
        <v>71</v>
      </c>
      <c r="C3" s="41" t="s">
        <v>69</v>
      </c>
    </row>
    <row r="4" spans="2:3" x14ac:dyDescent="0.25">
      <c r="B4" s="2" t="s">
        <v>72</v>
      </c>
      <c r="C4" s="42" t="s">
        <v>69</v>
      </c>
    </row>
    <row r="6" spans="2:3" ht="75" x14ac:dyDescent="0.25">
      <c r="B6" s="43" t="s">
        <v>75</v>
      </c>
    </row>
    <row r="8" spans="2:3" ht="90" x14ac:dyDescent="0.25">
      <c r="B8" s="46" t="s">
        <v>73</v>
      </c>
    </row>
    <row r="10" spans="2:3" ht="120" x14ac:dyDescent="0.25">
      <c r="B10" s="43" t="s">
        <v>80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41"/>
  <sheetViews>
    <sheetView workbookViewId="0">
      <selection activeCell="E6" sqref="E6"/>
    </sheetView>
  </sheetViews>
  <sheetFormatPr defaultRowHeight="15" x14ac:dyDescent="0.25"/>
  <cols>
    <col min="1" max="1" width="8.875" style="35"/>
    <col min="2" max="2" width="17.125" style="12" bestFit="1" customWidth="1"/>
    <col min="3" max="3" width="10.875" style="12" customWidth="1"/>
    <col min="4" max="4" width="12.125" style="12" bestFit="1" customWidth="1"/>
    <col min="5" max="5" width="10.375" style="12" bestFit="1" customWidth="1"/>
    <col min="6" max="6" width="10.625" style="12" bestFit="1" customWidth="1"/>
    <col min="7" max="7" width="8.125" style="12" bestFit="1" customWidth="1"/>
    <col min="8" max="8" width="8.5" style="12" bestFit="1" customWidth="1"/>
    <col min="9" max="9" width="11.125" style="12" bestFit="1" customWidth="1"/>
    <col min="10" max="10" width="10.375" style="12" customWidth="1"/>
    <col min="11" max="11" width="11.125" style="12" bestFit="1" customWidth="1"/>
    <col min="12" max="12" width="9.375" style="12" bestFit="1" customWidth="1"/>
  </cols>
  <sheetData>
    <row r="2" spans="1:13" x14ac:dyDescent="0.25">
      <c r="H2" s="12" t="s">
        <v>74</v>
      </c>
      <c r="J2" s="13">
        <f>1*(100%+'Referencna cena'!H5)^3</f>
        <v>1.0211473429999995</v>
      </c>
      <c r="K2" s="14"/>
    </row>
    <row r="4" spans="1:13" x14ac:dyDescent="0.25">
      <c r="B4" s="37"/>
      <c r="C4" s="37"/>
      <c r="D4" s="37"/>
      <c r="E4" s="54" t="s">
        <v>62</v>
      </c>
      <c r="F4" s="54"/>
      <c r="G4" s="54"/>
      <c r="H4" s="54"/>
      <c r="I4" s="54" t="s">
        <v>67</v>
      </c>
      <c r="J4" s="54"/>
      <c r="K4" s="54"/>
      <c r="L4" s="54"/>
    </row>
    <row r="5" spans="1:13" x14ac:dyDescent="0.25">
      <c r="B5" s="37" t="s">
        <v>65</v>
      </c>
      <c r="C5" s="37" t="s">
        <v>64</v>
      </c>
      <c r="D5" s="37" t="s">
        <v>63</v>
      </c>
      <c r="E5" s="38" t="s">
        <v>17</v>
      </c>
      <c r="F5" s="38" t="s">
        <v>18</v>
      </c>
      <c r="G5" s="38" t="s">
        <v>19</v>
      </c>
      <c r="H5" s="38" t="s">
        <v>20</v>
      </c>
      <c r="I5" s="37" t="s">
        <v>17</v>
      </c>
      <c r="J5" s="37" t="s">
        <v>18</v>
      </c>
      <c r="K5" s="37" t="s">
        <v>19</v>
      </c>
      <c r="L5" s="37" t="s">
        <v>20</v>
      </c>
    </row>
    <row r="6" spans="1:13" x14ac:dyDescent="0.25">
      <c r="B6" s="15" t="s">
        <v>21</v>
      </c>
      <c r="C6" s="15" t="s">
        <v>22</v>
      </c>
      <c r="D6" s="15" t="s">
        <v>23</v>
      </c>
      <c r="E6" s="47">
        <v>765.01</v>
      </c>
      <c r="F6" s="47">
        <v>765.01</v>
      </c>
      <c r="G6" s="47">
        <v>2991.43</v>
      </c>
      <c r="H6" s="47">
        <v>2991.43</v>
      </c>
      <c r="I6" s="16">
        <f t="shared" ref="I6:L13" si="0">(E6/VLOOKUP($C6,$B$36:$E$41,4,0)*VLOOKUP($D6,$B$22:$E$30,4,0))*$J$2</f>
        <v>30.318556581092512</v>
      </c>
      <c r="J6" s="16">
        <f t="shared" si="0"/>
        <v>30.318556581092512</v>
      </c>
      <c r="K6" s="16">
        <f t="shared" si="0"/>
        <v>118.55510348018663</v>
      </c>
      <c r="L6" s="16">
        <f t="shared" si="0"/>
        <v>118.55510348018663</v>
      </c>
      <c r="M6" s="17"/>
    </row>
    <row r="7" spans="1:13" x14ac:dyDescent="0.25">
      <c r="B7" s="15" t="s">
        <v>26</v>
      </c>
      <c r="C7" s="15" t="s">
        <v>27</v>
      </c>
      <c r="D7" s="15" t="s">
        <v>25</v>
      </c>
      <c r="E7" s="47">
        <v>708.24</v>
      </c>
      <c r="F7" s="47">
        <v>1080.48</v>
      </c>
      <c r="G7" s="47">
        <v>513.39</v>
      </c>
      <c r="H7" s="47">
        <v>1705.52</v>
      </c>
      <c r="I7" s="16">
        <f t="shared" si="0"/>
        <v>92.501022475765069</v>
      </c>
      <c r="J7" s="16">
        <f t="shared" si="0"/>
        <v>141.11813052724307</v>
      </c>
      <c r="K7" s="16">
        <f t="shared" si="0"/>
        <v>67.0522703163236</v>
      </c>
      <c r="L7" s="16">
        <f t="shared" si="0"/>
        <v>222.75265990747039</v>
      </c>
    </row>
    <row r="8" spans="1:13" x14ac:dyDescent="0.25">
      <c r="B8" s="15" t="s">
        <v>30</v>
      </c>
      <c r="C8" s="15" t="s">
        <v>28</v>
      </c>
      <c r="D8" s="15" t="s">
        <v>29</v>
      </c>
      <c r="E8" s="47">
        <v>1.18</v>
      </c>
      <c r="F8" s="47">
        <v>1.18</v>
      </c>
      <c r="G8" s="47">
        <v>1.01</v>
      </c>
      <c r="H8" s="47">
        <v>1.25</v>
      </c>
      <c r="I8" s="16">
        <f t="shared" si="0"/>
        <v>183.25340026254156</v>
      </c>
      <c r="J8" s="16">
        <f t="shared" si="0"/>
        <v>183.25340026254156</v>
      </c>
      <c r="K8" s="16">
        <f t="shared" si="0"/>
        <v>156.85248666539576</v>
      </c>
      <c r="L8" s="16">
        <f t="shared" si="0"/>
        <v>194.12436468489574</v>
      </c>
    </row>
    <row r="9" spans="1:13" x14ac:dyDescent="0.25">
      <c r="B9" s="15" t="s">
        <v>31</v>
      </c>
      <c r="C9" s="15" t="s">
        <v>24</v>
      </c>
      <c r="D9" s="15" t="s">
        <v>25</v>
      </c>
      <c r="E9" s="47">
        <v>2.64</v>
      </c>
      <c r="F9" s="47">
        <v>4.3099999999999996</v>
      </c>
      <c r="G9" s="47">
        <v>2.64</v>
      </c>
      <c r="H9" s="47">
        <v>2.81</v>
      </c>
      <c r="I9" s="16">
        <f t="shared" si="0"/>
        <v>112.32620772999995</v>
      </c>
      <c r="J9" s="16">
        <f t="shared" si="0"/>
        <v>183.38104368041655</v>
      </c>
      <c r="K9" s="16">
        <f t="shared" si="0"/>
        <v>112.32620772999995</v>
      </c>
      <c r="L9" s="16">
        <f t="shared" si="0"/>
        <v>119.5593347429166</v>
      </c>
    </row>
    <row r="10" spans="1:13" x14ac:dyDescent="0.25">
      <c r="B10" s="15" t="s">
        <v>32</v>
      </c>
      <c r="C10" s="15" t="s">
        <v>24</v>
      </c>
      <c r="D10" s="15" t="s">
        <v>25</v>
      </c>
      <c r="E10" s="47">
        <v>2.2346650000000001</v>
      </c>
      <c r="F10" s="47">
        <v>2.2346650000000001</v>
      </c>
      <c r="G10" s="47">
        <v>2.2346650000000001</v>
      </c>
      <c r="H10" s="47">
        <v>2.5605519999999999</v>
      </c>
      <c r="I10" s="16">
        <f t="shared" si="0"/>
        <v>95.080092801878919</v>
      </c>
      <c r="J10" s="16">
        <f t="shared" si="0"/>
        <v>95.080092801878919</v>
      </c>
      <c r="K10" s="16">
        <f t="shared" si="0"/>
        <v>95.080092801878919</v>
      </c>
      <c r="L10" s="16">
        <f t="shared" si="0"/>
        <v>108.94586964222228</v>
      </c>
    </row>
    <row r="11" spans="1:13" x14ac:dyDescent="0.25">
      <c r="B11" s="15" t="s">
        <v>33</v>
      </c>
      <c r="C11" s="15" t="s">
        <v>24</v>
      </c>
      <c r="D11" s="15" t="s">
        <v>29</v>
      </c>
      <c r="E11" s="47">
        <v>1.1207E-2</v>
      </c>
      <c r="F11" s="47">
        <v>1.1207E-2</v>
      </c>
      <c r="G11" s="47">
        <v>1.1207E-2</v>
      </c>
      <c r="H11" s="47">
        <v>1.1207E-2</v>
      </c>
      <c r="I11" s="16">
        <f t="shared" si="0"/>
        <v>174.0441404018901</v>
      </c>
      <c r="J11" s="16">
        <f t="shared" si="0"/>
        <v>174.0441404018901</v>
      </c>
      <c r="K11" s="16">
        <f t="shared" si="0"/>
        <v>174.0441404018901</v>
      </c>
      <c r="L11" s="16">
        <f t="shared" si="0"/>
        <v>174.0441404018901</v>
      </c>
    </row>
    <row r="12" spans="1:13" x14ac:dyDescent="0.25">
      <c r="B12" s="15" t="s">
        <v>34</v>
      </c>
      <c r="C12" s="15" t="s">
        <v>37</v>
      </c>
      <c r="D12" s="15" t="s">
        <v>43</v>
      </c>
      <c r="E12" s="47">
        <v>3.0150000000000001</v>
      </c>
      <c r="F12" s="47">
        <v>3.0150000000000001</v>
      </c>
      <c r="G12" s="47">
        <v>1.8759999999999999</v>
      </c>
      <c r="H12" s="47">
        <v>1.8759999999999999</v>
      </c>
      <c r="I12" s="16">
        <f t="shared" si="0"/>
        <v>261.53116791284782</v>
      </c>
      <c r="J12" s="16">
        <f t="shared" si="0"/>
        <v>261.53116791284782</v>
      </c>
      <c r="K12" s="16">
        <f t="shared" si="0"/>
        <v>162.73050447910526</v>
      </c>
      <c r="L12" s="16">
        <f t="shared" si="0"/>
        <v>162.73050447910526</v>
      </c>
    </row>
    <row r="13" spans="1:13" x14ac:dyDescent="0.25">
      <c r="B13" s="15" t="s">
        <v>36</v>
      </c>
      <c r="C13" s="15" t="s">
        <v>37</v>
      </c>
      <c r="D13" s="15" t="s">
        <v>38</v>
      </c>
      <c r="E13" s="47">
        <v>1.2270000000000001</v>
      </c>
      <c r="F13" s="47">
        <v>1.2270000000000001</v>
      </c>
      <c r="G13" s="47">
        <v>1.2270000000000001</v>
      </c>
      <c r="H13" s="47">
        <v>1.2270000000000001</v>
      </c>
      <c r="I13" s="16">
        <f t="shared" si="0"/>
        <v>106.43407728990523</v>
      </c>
      <c r="J13" s="16">
        <f t="shared" si="0"/>
        <v>106.43407728990523</v>
      </c>
      <c r="K13" s="16">
        <f t="shared" si="0"/>
        <v>106.43407728990523</v>
      </c>
      <c r="L13" s="16">
        <f t="shared" si="0"/>
        <v>106.43407728990523</v>
      </c>
    </row>
    <row r="14" spans="1:13" x14ac:dyDescent="0.25">
      <c r="A14" s="30"/>
      <c r="B14" s="15" t="s">
        <v>39</v>
      </c>
      <c r="C14" s="15" t="s">
        <v>24</v>
      </c>
      <c r="D14" s="15" t="s">
        <v>25</v>
      </c>
      <c r="E14" s="47">
        <v>0.77</v>
      </c>
      <c r="F14" s="47">
        <v>1.3</v>
      </c>
      <c r="G14" s="47">
        <v>1.1200000000000001</v>
      </c>
      <c r="H14" s="47">
        <v>4.63</v>
      </c>
      <c r="I14" s="16">
        <f t="shared" ref="I14:I15" si="1">(E14/VLOOKUP($C14,$B$36:$E$41,4,0)*VLOOKUP($D14,$B$22:$E$30,4,0))*$J$2</f>
        <v>32.761810587916656</v>
      </c>
      <c r="J14" s="16">
        <f t="shared" ref="J14:J15" si="2">(F14/VLOOKUP($C14,$B$36:$E$41,4,0)*VLOOKUP($D14,$B$22:$E$30,4,0))*$J$2</f>
        <v>55.312147745833308</v>
      </c>
      <c r="K14" s="16">
        <f t="shared" ref="K14:K15" si="3">(G14/VLOOKUP($C14,$B$36:$E$41,4,0)*VLOOKUP($D14,$B$22:$E$30,4,0))*$J$2</f>
        <v>47.65354267333332</v>
      </c>
      <c r="L14" s="16">
        <f t="shared" ref="L14:L15" si="4">(H14/VLOOKUP($C14,$B$36:$E$41,4,0)*VLOOKUP($D14,$B$22:$E$30,4,0))*$J$2</f>
        <v>196.99634158708324</v>
      </c>
    </row>
    <row r="15" spans="1:13" x14ac:dyDescent="0.25">
      <c r="A15" s="30"/>
      <c r="B15" s="15" t="s">
        <v>40</v>
      </c>
      <c r="C15" s="15" t="s">
        <v>24</v>
      </c>
      <c r="D15" s="15" t="s">
        <v>41</v>
      </c>
      <c r="E15" s="47">
        <v>0.69004500000000002</v>
      </c>
      <c r="F15" s="47">
        <v>3.7971309999999998</v>
      </c>
      <c r="G15" s="47">
        <v>0.84567400000000004</v>
      </c>
      <c r="H15" s="47">
        <v>3.6458590000000002</v>
      </c>
      <c r="I15" s="16">
        <f t="shared" si="1"/>
        <v>67.108344600041406</v>
      </c>
      <c r="J15" s="16">
        <f t="shared" si="2"/>
        <v>369.2790696831363</v>
      </c>
      <c r="K15" s="16">
        <f t="shared" si="3"/>
        <v>82.24359601373159</v>
      </c>
      <c r="L15" s="16">
        <f t="shared" si="4"/>
        <v>354.56754579072719</v>
      </c>
    </row>
    <row r="16" spans="1:13" x14ac:dyDescent="0.25">
      <c r="B16" s="15"/>
      <c r="C16" s="15"/>
      <c r="D16" s="15"/>
      <c r="E16" s="15"/>
      <c r="F16" s="15"/>
      <c r="G16" s="15"/>
      <c r="H16" s="15"/>
      <c r="I16" s="16"/>
      <c r="J16" s="16"/>
      <c r="K16" s="16"/>
      <c r="L16" s="16"/>
    </row>
    <row r="17" spans="2:13" x14ac:dyDescent="0.25">
      <c r="B17" s="15" t="s">
        <v>50</v>
      </c>
      <c r="C17" s="15"/>
      <c r="D17" s="15"/>
      <c r="E17" s="15"/>
      <c r="F17" s="15"/>
      <c r="G17" s="15"/>
      <c r="H17" s="16"/>
      <c r="I17" s="20">
        <f>AVERAGE(I6:I15)</f>
        <v>115.53588206438792</v>
      </c>
      <c r="J17" s="20">
        <f t="shared" ref="J17:L17" si="5">AVERAGE(J6:J15)</f>
        <v>159.97518268867853</v>
      </c>
      <c r="K17" s="20">
        <f t="shared" si="5"/>
        <v>112.29720218517502</v>
      </c>
      <c r="L17" s="20">
        <f t="shared" si="5"/>
        <v>175.87099420064027</v>
      </c>
    </row>
    <row r="18" spans="2:13" x14ac:dyDescent="0.25">
      <c r="B18" s="15" t="s">
        <v>51</v>
      </c>
      <c r="C18" s="15"/>
      <c r="D18" s="15"/>
      <c r="E18" s="15"/>
      <c r="F18" s="15"/>
      <c r="G18" s="15"/>
      <c r="H18" s="16"/>
      <c r="I18" s="20">
        <f>ROUND(AVERAGE(I17:J17),2)</f>
        <v>137.76</v>
      </c>
      <c r="K18" s="20">
        <f>ROUND(AVERAGE(K17:L17),2)</f>
        <v>144.08000000000001</v>
      </c>
      <c r="L18" s="20"/>
    </row>
    <row r="19" spans="2:13" x14ac:dyDescent="0.25">
      <c r="B19" s="15"/>
      <c r="C19" s="15"/>
      <c r="D19" s="15"/>
      <c r="E19" s="15"/>
      <c r="F19" s="15"/>
      <c r="G19" s="15"/>
      <c r="H19" s="16"/>
      <c r="I19" s="20"/>
      <c r="K19" s="20"/>
      <c r="L19" s="20"/>
    </row>
    <row r="20" spans="2:13" x14ac:dyDescent="0.25">
      <c r="B20" s="15"/>
      <c r="C20" s="15"/>
      <c r="D20" s="15"/>
      <c r="E20" s="15"/>
      <c r="F20" s="15"/>
      <c r="G20" s="15"/>
      <c r="H20" s="15"/>
      <c r="I20" s="20"/>
      <c r="K20" s="20"/>
      <c r="L20" s="20"/>
    </row>
    <row r="21" spans="2:13" x14ac:dyDescent="0.25">
      <c r="B21" s="18" t="s">
        <v>1</v>
      </c>
      <c r="C21" s="18"/>
      <c r="D21" s="19"/>
      <c r="E21" s="19"/>
      <c r="I21" s="20"/>
      <c r="J21" s="20"/>
      <c r="K21" s="20"/>
    </row>
    <row r="22" spans="2:13" x14ac:dyDescent="0.25">
      <c r="B22" s="21" t="s">
        <v>23</v>
      </c>
      <c r="C22" s="21"/>
      <c r="D22" s="22"/>
      <c r="E22" s="48">
        <v>1</v>
      </c>
    </row>
    <row r="23" spans="2:13" x14ac:dyDescent="0.25">
      <c r="B23" s="21" t="s">
        <v>42</v>
      </c>
      <c r="C23" s="21"/>
      <c r="D23" s="22"/>
      <c r="E23" s="23">
        <f>E22*1000</f>
        <v>1000</v>
      </c>
      <c r="I23" s="20"/>
      <c r="K23" s="20"/>
    </row>
    <row r="24" spans="2:13" x14ac:dyDescent="0.25">
      <c r="B24" s="21" t="s">
        <v>45</v>
      </c>
      <c r="C24" s="21"/>
      <c r="D24" s="22"/>
      <c r="E24" s="24">
        <f>E22/24</f>
        <v>4.1666666666666664E-2</v>
      </c>
    </row>
    <row r="25" spans="2:13" x14ac:dyDescent="0.25">
      <c r="B25" s="21" t="s">
        <v>25</v>
      </c>
      <c r="C25" s="21"/>
      <c r="D25" s="22"/>
      <c r="E25" s="23">
        <f>E22*1000/24</f>
        <v>41.666666666666664</v>
      </c>
      <c r="L25" s="20"/>
      <c r="M25" s="32"/>
    </row>
    <row r="26" spans="2:13" x14ac:dyDescent="0.25">
      <c r="B26" s="12" t="s">
        <v>41</v>
      </c>
      <c r="E26" s="25">
        <f>E23/E32</f>
        <v>95.238095238095241</v>
      </c>
      <c r="I26" s="20"/>
      <c r="K26" s="20"/>
    </row>
    <row r="27" spans="2:13" x14ac:dyDescent="0.25">
      <c r="B27" s="12" t="s">
        <v>29</v>
      </c>
      <c r="E27" s="25">
        <f>E25*365</f>
        <v>15208.333333333332</v>
      </c>
    </row>
    <row r="28" spans="2:13" x14ac:dyDescent="0.25">
      <c r="B28" s="12" t="s">
        <v>43</v>
      </c>
      <c r="E28" s="25">
        <f>E22*365</f>
        <v>365</v>
      </c>
    </row>
    <row r="29" spans="2:13" x14ac:dyDescent="0.25">
      <c r="B29" s="12" t="s">
        <v>38</v>
      </c>
      <c r="E29" s="25">
        <f>E22*365</f>
        <v>365</v>
      </c>
      <c r="I29" s="20"/>
    </row>
    <row r="30" spans="2:13" x14ac:dyDescent="0.25">
      <c r="B30" s="12" t="s">
        <v>44</v>
      </c>
      <c r="E30" s="23">
        <f>E22*1000*12</f>
        <v>12000</v>
      </c>
      <c r="I30" s="33"/>
      <c r="K30" s="20"/>
    </row>
    <row r="32" spans="2:13" x14ac:dyDescent="0.25">
      <c r="B32" s="12" t="s">
        <v>46</v>
      </c>
      <c r="C32" s="12" t="s">
        <v>47</v>
      </c>
      <c r="E32" s="49">
        <v>10.5</v>
      </c>
    </row>
    <row r="35" spans="2:6" x14ac:dyDescent="0.25">
      <c r="B35" s="18" t="s">
        <v>66</v>
      </c>
      <c r="C35" s="18"/>
      <c r="D35" s="19"/>
      <c r="E35" s="34">
        <v>43605</v>
      </c>
    </row>
    <row r="36" spans="2:6" x14ac:dyDescent="0.25">
      <c r="B36" s="21" t="s">
        <v>24</v>
      </c>
      <c r="C36" s="21"/>
      <c r="D36" s="22"/>
      <c r="E36" s="26">
        <v>1</v>
      </c>
    </row>
    <row r="37" spans="2:6" x14ac:dyDescent="0.25">
      <c r="B37" s="12" t="s">
        <v>22</v>
      </c>
      <c r="E37" s="49">
        <v>25.765999999999998</v>
      </c>
      <c r="F37" s="31"/>
    </row>
    <row r="38" spans="2:6" x14ac:dyDescent="0.25">
      <c r="B38" s="12" t="s">
        <v>27</v>
      </c>
      <c r="E38" s="49">
        <v>325.77</v>
      </c>
      <c r="F38" s="31"/>
    </row>
    <row r="39" spans="2:6" x14ac:dyDescent="0.25">
      <c r="B39" s="27" t="s">
        <v>28</v>
      </c>
      <c r="C39" s="28"/>
      <c r="D39" s="27"/>
      <c r="E39" s="29">
        <f>E36*100</f>
        <v>100</v>
      </c>
    </row>
    <row r="40" spans="2:6" x14ac:dyDescent="0.25">
      <c r="B40" s="21" t="s">
        <v>37</v>
      </c>
      <c r="C40" s="21"/>
      <c r="D40" s="22"/>
      <c r="E40" s="49">
        <v>4.2968000000000002</v>
      </c>
      <c r="F40" s="31"/>
    </row>
    <row r="41" spans="2:6" x14ac:dyDescent="0.25">
      <c r="B41" s="12" t="s">
        <v>35</v>
      </c>
      <c r="E41" s="29">
        <f>E40/100</f>
        <v>4.2967999999999999E-2</v>
      </c>
    </row>
  </sheetData>
  <sheetProtection algorithmName="SHA-512" hashValue="N/RfLIB/8wuF+VETcqM8wwFWz+O86Nh+kH2msnO1VQl9BagM35LQaVplOLEv9NLfBAJ7k5ySzKtAUAcBZcN4Tg==" saltValue="WMIubmWjOxL/DCNxRL9EYQ==" spinCount="100000" sheet="1" objects="1" scenarios="1" selectLockedCells="1"/>
  <mergeCells count="2">
    <mergeCell ref="E4:H4"/>
    <mergeCell ref="I4:L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46"/>
  <sheetViews>
    <sheetView zoomScale="80" zoomScaleNormal="80" zoomScaleSheetLayoutView="80"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H5" sqref="H5"/>
    </sheetView>
  </sheetViews>
  <sheetFormatPr defaultColWidth="8.875" defaultRowHeight="15" x14ac:dyDescent="0.25"/>
  <cols>
    <col min="1" max="1" width="4.125" style="2" customWidth="1"/>
    <col min="2" max="2" width="24.5" style="2" bestFit="1" customWidth="1"/>
    <col min="3" max="6" width="9.125" style="2" customWidth="1"/>
    <col min="7" max="7" width="16.75" style="2" bestFit="1" customWidth="1"/>
    <col min="8" max="8" width="17.25" style="2" bestFit="1" customWidth="1"/>
    <col min="9" max="16384" width="8.875" style="2"/>
  </cols>
  <sheetData>
    <row r="1" spans="2:13" s="1" customFormat="1" x14ac:dyDescent="0.25">
      <c r="B1" s="1" t="s">
        <v>0</v>
      </c>
      <c r="G1" s="1" t="s">
        <v>1</v>
      </c>
      <c r="H1" s="1">
        <v>2022</v>
      </c>
      <c r="I1" s="1">
        <v>2023</v>
      </c>
      <c r="J1" s="1">
        <v>2024</v>
      </c>
      <c r="K1" s="1">
        <v>2025</v>
      </c>
      <c r="L1" s="1">
        <v>2026</v>
      </c>
    </row>
    <row r="3" spans="2:13" s="4" customFormat="1" x14ac:dyDescent="0.25">
      <c r="B3" s="3" t="s">
        <v>48</v>
      </c>
      <c r="C3" s="3"/>
      <c r="D3" s="3"/>
      <c r="E3" s="3"/>
    </row>
    <row r="5" spans="2:13" x14ac:dyDescent="0.25">
      <c r="B5" s="2" t="s">
        <v>78</v>
      </c>
      <c r="G5" s="2" t="s">
        <v>3</v>
      </c>
      <c r="H5" s="50">
        <v>7.0000000000000001E-3</v>
      </c>
      <c r="I5" s="50">
        <v>2.9000000000000001E-2</v>
      </c>
      <c r="J5" s="50">
        <v>9.1999999999999998E-2</v>
      </c>
      <c r="K5" s="39">
        <f>J5</f>
        <v>9.1999999999999998E-2</v>
      </c>
      <c r="L5" s="39">
        <f>K5</f>
        <v>9.1999999999999998E-2</v>
      </c>
      <c r="M5" s="39"/>
    </row>
    <row r="7" spans="2:13" s="5" customFormat="1" x14ac:dyDescent="0.25">
      <c r="B7" s="5" t="s">
        <v>16</v>
      </c>
      <c r="G7" s="5" t="s">
        <v>2</v>
      </c>
      <c r="H7" s="51">
        <v>577.82638359999999</v>
      </c>
    </row>
    <row r="8" spans="2:13" s="5" customFormat="1" x14ac:dyDescent="0.25"/>
    <row r="9" spans="2:13" s="5" customFormat="1" x14ac:dyDescent="0.25">
      <c r="B9" s="5" t="s">
        <v>4</v>
      </c>
      <c r="G9" s="6" t="s">
        <v>5</v>
      </c>
      <c r="H9" s="7">
        <f>SUM(H10:H16)</f>
        <v>1832668</v>
      </c>
    </row>
    <row r="10" spans="2:13" x14ac:dyDescent="0.25">
      <c r="B10" s="2" t="s">
        <v>6</v>
      </c>
      <c r="G10" s="8" t="s">
        <v>5</v>
      </c>
      <c r="H10" s="52">
        <v>245041</v>
      </c>
    </row>
    <row r="11" spans="2:13" x14ac:dyDescent="0.25">
      <c r="B11" s="2" t="s">
        <v>7</v>
      </c>
      <c r="G11" s="8" t="s">
        <v>5</v>
      </c>
      <c r="H11" s="53">
        <v>0</v>
      </c>
    </row>
    <row r="12" spans="2:13" x14ac:dyDescent="0.25">
      <c r="B12" s="2" t="s">
        <v>8</v>
      </c>
      <c r="G12" s="8" t="s">
        <v>5</v>
      </c>
      <c r="H12" s="52">
        <v>15600</v>
      </c>
    </row>
    <row r="13" spans="2:13" x14ac:dyDescent="0.25">
      <c r="B13" s="2" t="s">
        <v>9</v>
      </c>
      <c r="G13" s="8" t="s">
        <v>5</v>
      </c>
      <c r="H13" s="52">
        <v>28600</v>
      </c>
    </row>
    <row r="14" spans="2:13" x14ac:dyDescent="0.25">
      <c r="B14" s="2" t="s">
        <v>10</v>
      </c>
      <c r="G14" s="8" t="s">
        <v>5</v>
      </c>
      <c r="H14" s="52">
        <v>1543427</v>
      </c>
    </row>
    <row r="15" spans="2:13" x14ac:dyDescent="0.25">
      <c r="B15" s="2" t="s">
        <v>11</v>
      </c>
      <c r="G15" s="8" t="s">
        <v>5</v>
      </c>
      <c r="H15" s="53">
        <v>0</v>
      </c>
    </row>
    <row r="16" spans="2:13" x14ac:dyDescent="0.25">
      <c r="B16" s="2" t="s">
        <v>12</v>
      </c>
      <c r="G16" s="8" t="s">
        <v>5</v>
      </c>
      <c r="H16" s="53">
        <v>0</v>
      </c>
    </row>
    <row r="17" spans="2:8" x14ac:dyDescent="0.25">
      <c r="G17" s="8"/>
    </row>
    <row r="18" spans="2:8" s="5" customFormat="1" x14ac:dyDescent="0.25">
      <c r="B18" s="5" t="s">
        <v>76</v>
      </c>
      <c r="G18" s="6" t="s">
        <v>5</v>
      </c>
      <c r="H18" s="7">
        <f>SUM(H19:H25)</f>
        <v>1996425</v>
      </c>
    </row>
    <row r="19" spans="2:8" x14ac:dyDescent="0.25">
      <c r="B19" s="2" t="s">
        <v>6</v>
      </c>
      <c r="G19" s="8" t="s">
        <v>5</v>
      </c>
      <c r="H19" s="52">
        <v>12000</v>
      </c>
    </row>
    <row r="20" spans="2:8" x14ac:dyDescent="0.25">
      <c r="B20" s="2" t="s">
        <v>7</v>
      </c>
      <c r="G20" s="8" t="s">
        <v>5</v>
      </c>
      <c r="H20" s="52">
        <v>1594809</v>
      </c>
    </row>
    <row r="21" spans="2:8" x14ac:dyDescent="0.25">
      <c r="B21" s="2" t="s">
        <v>8</v>
      </c>
      <c r="G21" s="8" t="s">
        <v>5</v>
      </c>
      <c r="H21" s="52">
        <v>139616</v>
      </c>
    </row>
    <row r="22" spans="2:8" x14ac:dyDescent="0.25">
      <c r="B22" s="2" t="s">
        <v>9</v>
      </c>
      <c r="G22" s="8" t="s">
        <v>5</v>
      </c>
      <c r="H22" s="53">
        <v>0</v>
      </c>
    </row>
    <row r="23" spans="2:8" x14ac:dyDescent="0.25">
      <c r="B23" s="2" t="s">
        <v>10</v>
      </c>
      <c r="G23" s="8" t="s">
        <v>5</v>
      </c>
      <c r="H23" s="53">
        <v>0</v>
      </c>
    </row>
    <row r="24" spans="2:8" x14ac:dyDescent="0.25">
      <c r="B24" s="2" t="s">
        <v>11</v>
      </c>
      <c r="G24" s="8" t="s">
        <v>5</v>
      </c>
      <c r="H24" s="52">
        <v>250000</v>
      </c>
    </row>
    <row r="25" spans="2:8" x14ac:dyDescent="0.25">
      <c r="B25" s="2" t="s">
        <v>12</v>
      </c>
      <c r="G25" s="8" t="s">
        <v>5</v>
      </c>
      <c r="H25" s="53">
        <v>0</v>
      </c>
    </row>
    <row r="26" spans="2:8" x14ac:dyDescent="0.25">
      <c r="H26" s="9"/>
    </row>
    <row r="27" spans="2:8" x14ac:dyDescent="0.25">
      <c r="B27" s="2" t="s">
        <v>13</v>
      </c>
      <c r="G27" s="2" t="s">
        <v>14</v>
      </c>
      <c r="H27" s="50">
        <v>0.38</v>
      </c>
    </row>
    <row r="29" spans="2:8" s="4" customFormat="1" x14ac:dyDescent="0.25">
      <c r="B29" s="3" t="s">
        <v>49</v>
      </c>
      <c r="C29" s="3"/>
      <c r="D29" s="3"/>
      <c r="E29" s="3"/>
    </row>
    <row r="31" spans="2:8" s="5" customFormat="1" x14ac:dyDescent="0.25">
      <c r="B31" s="5" t="s">
        <v>54</v>
      </c>
      <c r="G31" s="5" t="s">
        <v>15</v>
      </c>
      <c r="H31" s="10">
        <f>H7*H27/H9*1000000</f>
        <v>119.81113096752929</v>
      </c>
    </row>
    <row r="32" spans="2:8" s="5" customFormat="1" x14ac:dyDescent="0.25">
      <c r="B32" s="5" t="s">
        <v>55</v>
      </c>
      <c r="G32" s="5" t="s">
        <v>15</v>
      </c>
      <c r="H32" s="10">
        <f>H7*(1-H27)/H18*1000000</f>
        <v>179.44694032182525</v>
      </c>
    </row>
    <row r="34" spans="2:13" x14ac:dyDescent="0.25">
      <c r="B34" s="2" t="s">
        <v>52</v>
      </c>
      <c r="G34" s="2" t="s">
        <v>15</v>
      </c>
      <c r="H34" s="36">
        <f>'benchmarking data'!I18</f>
        <v>137.76</v>
      </c>
    </row>
    <row r="35" spans="2:13" x14ac:dyDescent="0.25">
      <c r="B35" s="2" t="s">
        <v>53</v>
      </c>
      <c r="G35" s="2" t="s">
        <v>15</v>
      </c>
      <c r="H35" s="36">
        <f>'benchmarking data'!K18</f>
        <v>144.08000000000001</v>
      </c>
    </row>
    <row r="37" spans="2:13" x14ac:dyDescent="0.25">
      <c r="B37" s="2" t="s">
        <v>56</v>
      </c>
      <c r="G37" s="2" t="s">
        <v>15</v>
      </c>
      <c r="H37" s="11">
        <f>MIN(H31,H34)</f>
        <v>119.81113096752929</v>
      </c>
    </row>
    <row r="38" spans="2:13" x14ac:dyDescent="0.25">
      <c r="B38" s="2" t="s">
        <v>57</v>
      </c>
      <c r="G38" s="2" t="s">
        <v>15</v>
      </c>
      <c r="H38" s="11">
        <f>MAX(H31,H34)</f>
        <v>137.76</v>
      </c>
    </row>
    <row r="39" spans="2:13" x14ac:dyDescent="0.25">
      <c r="B39" s="2" t="s">
        <v>58</v>
      </c>
      <c r="G39" s="2" t="s">
        <v>15</v>
      </c>
      <c r="H39" s="11">
        <f>MIN(H32,H35)</f>
        <v>144.08000000000001</v>
      </c>
    </row>
    <row r="40" spans="2:13" x14ac:dyDescent="0.25">
      <c r="B40" s="2" t="s">
        <v>59</v>
      </c>
      <c r="G40" s="2" t="s">
        <v>15</v>
      </c>
      <c r="H40" s="11">
        <f>MAX(H32,H35)</f>
        <v>179.44694032182525</v>
      </c>
    </row>
    <row r="42" spans="2:13" x14ac:dyDescent="0.25">
      <c r="B42" s="2" t="s">
        <v>60</v>
      </c>
      <c r="G42" s="2" t="s">
        <v>15</v>
      </c>
      <c r="H42" s="51">
        <v>0</v>
      </c>
    </row>
    <row r="43" spans="2:13" x14ac:dyDescent="0.25">
      <c r="B43" s="2" t="s">
        <v>61</v>
      </c>
      <c r="G43" s="2" t="s">
        <v>15</v>
      </c>
      <c r="H43" s="51">
        <v>-12.79</v>
      </c>
    </row>
    <row r="45" spans="2:13" s="5" customFormat="1" x14ac:dyDescent="0.25">
      <c r="B45" s="5" t="s">
        <v>68</v>
      </c>
      <c r="G45" s="5" t="s">
        <v>15</v>
      </c>
      <c r="H45" s="10">
        <f>ROUND(H31+H42,1)</f>
        <v>119.8</v>
      </c>
      <c r="I45" s="45">
        <f>ROUND(H45+H45*I5,2)</f>
        <v>123.27</v>
      </c>
      <c r="J45" s="45">
        <f>ROUND(I45+I45*J5,2)</f>
        <v>134.61000000000001</v>
      </c>
      <c r="K45" s="45">
        <f>ROUND(J45+J45*K5,2)</f>
        <v>146.99</v>
      </c>
      <c r="L45" s="45">
        <f>ROUND(K45+K45*L5,2)</f>
        <v>160.51</v>
      </c>
      <c r="M45" s="10"/>
    </row>
    <row r="46" spans="2:13" s="5" customFormat="1" x14ac:dyDescent="0.25">
      <c r="B46" s="5" t="s">
        <v>77</v>
      </c>
      <c r="G46" s="5" t="s">
        <v>15</v>
      </c>
      <c r="H46" s="10">
        <f>ROUND(H32+H43,1)</f>
        <v>166.7</v>
      </c>
      <c r="I46" s="45">
        <f>ROUND(H46+H46*I5,2)</f>
        <v>171.53</v>
      </c>
      <c r="J46" s="45">
        <f>ROUND(I46+I46*J5,2)</f>
        <v>187.31</v>
      </c>
      <c r="K46" s="45">
        <f>ROUND(J46+J46*K5,2)</f>
        <v>204.54</v>
      </c>
      <c r="L46" s="45">
        <f>ROUND(K46+K46*L5,2)</f>
        <v>223.36</v>
      </c>
      <c r="M46" s="10"/>
    </row>
  </sheetData>
  <sheetProtection algorithmName="SHA-512" hashValue="JtUSRT8XkbPFmA3PUalhQzMaCFKgw1f8zYcYcUunFFegn/TuzHTcvmD20H62FsKbCixBYMSSBww1IJ5/ea5GRw==" saltValue="i47rKScwEJRBwgii+rzCiA==" spinCount="100000" sheet="1" objects="1" scenarios="1" selectLockedCells="1"/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vysvetlivky</vt:lpstr>
      <vt:lpstr>benchmarking data</vt:lpstr>
      <vt:lpstr>Referencna cena</vt:lpstr>
      <vt:lpstr>'Referencna cena'!Oblasť_tlače</vt:lpstr>
    </vt:vector>
  </TitlesOfParts>
  <Company>eustream,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Pčola Peter</dc:creator>
  <cp:lastModifiedBy>Kitt Roland</cp:lastModifiedBy>
  <dcterms:created xsi:type="dcterms:W3CDTF">2019-04-09T19:17:46Z</dcterms:created>
  <dcterms:modified xsi:type="dcterms:W3CDTF">2023-11-28T10:10:40Z</dcterms:modified>
</cp:coreProperties>
</file>