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likm1\Desktop\TAR\Peto\Dokumenty\latest\FINAL\"/>
    </mc:Choice>
  </mc:AlternateContent>
  <workbookProtection workbookAlgorithmName="SHA-512" workbookHashValue="Q2m6k6JU/hjcPTSgQU0nCXi1FE+IC4DqTGalTroTgClUSWbYIkkMi/gQMZCW8ylvil/NgggdIVe+j70TtHo0Vw==" workbookSaltValue="iCoR8XjxU1wni8V97dgRHg==" workbookSpinCount="100000" lockStructure="1"/>
  <bookViews>
    <workbookView xWindow="0" yWindow="0" windowWidth="23040" windowHeight="9228" activeTab="3"/>
  </bookViews>
  <sheets>
    <sheet name="introduction" sheetId="2" r:id="rId1"/>
    <sheet name="input data" sheetId="1" r:id="rId2"/>
    <sheet name="benchmarking data" sheetId="3" state="hidden" r:id="rId3"/>
    <sheet name="Tariff calculation"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4" l="1"/>
  <c r="N36" i="4" s="1"/>
  <c r="M35" i="4"/>
  <c r="N35" i="4" s="1"/>
  <c r="M34" i="4"/>
  <c r="N34" i="4" s="1"/>
  <c r="M33" i="4"/>
  <c r="N33" i="4" s="1"/>
  <c r="M32" i="4"/>
  <c r="N32" i="4" s="1"/>
  <c r="M31" i="4"/>
  <c r="N31" i="4" s="1"/>
  <c r="M27" i="4"/>
  <c r="N27" i="4" s="1"/>
  <c r="M26" i="4"/>
  <c r="N26" i="4" s="1"/>
  <c r="M25" i="4"/>
  <c r="N25" i="4" s="1"/>
  <c r="M24" i="4"/>
  <c r="N24" i="4" s="1"/>
  <c r="M23" i="4"/>
  <c r="N23" i="4" s="1"/>
  <c r="N22" i="4"/>
  <c r="M22" i="4"/>
  <c r="N7" i="1" l="1"/>
  <c r="L27" i="3" l="1"/>
  <c r="J27" i="3"/>
  <c r="T13" i="1" l="1"/>
  <c r="E51" i="3" l="1"/>
  <c r="E48" i="3"/>
  <c r="E38" i="3"/>
  <c r="E37" i="3"/>
  <c r="E36" i="3"/>
  <c r="E34" i="3"/>
  <c r="E33" i="3"/>
  <c r="E32" i="3"/>
  <c r="E31" i="3"/>
  <c r="T33" i="1"/>
  <c r="T32" i="1"/>
  <c r="T31" i="1"/>
  <c r="T30" i="1"/>
  <c r="T29" i="1"/>
  <c r="T28" i="1"/>
  <c r="T27" i="1"/>
  <c r="T24" i="1"/>
  <c r="T23" i="1"/>
  <c r="T22" i="1"/>
  <c r="T21" i="1"/>
  <c r="T20" i="1"/>
  <c r="T19" i="1"/>
  <c r="T18" i="1"/>
  <c r="R26" i="1"/>
  <c r="S26" i="1"/>
  <c r="Q26" i="1"/>
  <c r="P26" i="1"/>
  <c r="O26" i="1"/>
  <c r="R17" i="1"/>
  <c r="S17" i="1"/>
  <c r="Q17" i="1"/>
  <c r="P17" i="1"/>
  <c r="O17" i="1"/>
  <c r="S7" i="1"/>
  <c r="R7" i="1"/>
  <c r="Q7" i="1"/>
  <c r="P7" i="1"/>
  <c r="O7" i="1"/>
  <c r="M7" i="1"/>
  <c r="L7" i="1"/>
  <c r="K7" i="1"/>
  <c r="J7" i="1"/>
  <c r="I7" i="1"/>
  <c r="H7" i="1"/>
  <c r="L8" i="1" l="1"/>
  <c r="L1" i="3"/>
  <c r="M1" i="3" s="1"/>
  <c r="N1" i="3" s="1"/>
  <c r="M8" i="1"/>
  <c r="N8" i="1" s="1"/>
  <c r="O8" i="1" s="1"/>
  <c r="P8" i="1" s="1"/>
  <c r="Q8" i="1" s="1"/>
  <c r="R8" i="1" s="1"/>
  <c r="S8" i="1" s="1"/>
  <c r="T17" i="1"/>
  <c r="T26" i="1"/>
  <c r="E35" i="3"/>
  <c r="O1" i="3" l="1"/>
  <c r="J2" i="3" s="1"/>
  <c r="T5" i="4"/>
  <c r="O8" i="4" s="1"/>
  <c r="I29" i="3" s="1"/>
  <c r="I31" i="3" s="1"/>
  <c r="O13" i="4" s="1"/>
  <c r="T6" i="4"/>
  <c r="O9" i="4" s="1"/>
  <c r="K29" i="3" s="1"/>
  <c r="K31" i="3" s="1"/>
  <c r="O14" i="4" s="1"/>
  <c r="J25" i="3" l="1"/>
  <c r="J24" i="3"/>
  <c r="L24" i="3"/>
  <c r="K25" i="3"/>
  <c r="K24" i="3"/>
  <c r="I25" i="3"/>
  <c r="L25" i="3"/>
  <c r="I24" i="3"/>
  <c r="I23" i="3"/>
  <c r="I22" i="3"/>
  <c r="I21" i="3"/>
  <c r="I20" i="3"/>
  <c r="I19" i="3"/>
  <c r="I18" i="3"/>
  <c r="I17" i="3"/>
  <c r="I16" i="3"/>
  <c r="I15" i="3"/>
  <c r="I14" i="3"/>
  <c r="I13" i="3"/>
  <c r="I12" i="3"/>
  <c r="I11" i="3"/>
  <c r="I10" i="3"/>
  <c r="I9" i="3"/>
  <c r="I8" i="3"/>
  <c r="I7" i="3"/>
  <c r="I6" i="3"/>
  <c r="L23" i="3"/>
  <c r="L22" i="3"/>
  <c r="L21" i="3"/>
  <c r="L20" i="3"/>
  <c r="L19" i="3"/>
  <c r="L18" i="3"/>
  <c r="L17" i="3"/>
  <c r="L16" i="3"/>
  <c r="L15" i="3"/>
  <c r="L14" i="3"/>
  <c r="L13" i="3"/>
  <c r="L12" i="3"/>
  <c r="L11" i="3"/>
  <c r="L10" i="3"/>
  <c r="L9" i="3"/>
  <c r="L7" i="3"/>
  <c r="L6" i="3"/>
  <c r="L26" i="3" s="1"/>
  <c r="K22" i="3"/>
  <c r="K21" i="3"/>
  <c r="K20" i="3"/>
  <c r="K18" i="3"/>
  <c r="K17" i="3"/>
  <c r="K15" i="3"/>
  <c r="K13" i="3"/>
  <c r="K12" i="3"/>
  <c r="K10" i="3"/>
  <c r="K9" i="3"/>
  <c r="K7" i="3"/>
  <c r="K6" i="3"/>
  <c r="J23" i="3"/>
  <c r="J22" i="3"/>
  <c r="J21" i="3"/>
  <c r="J20" i="3"/>
  <c r="J19" i="3"/>
  <c r="J18" i="3"/>
  <c r="J17" i="3"/>
  <c r="J16" i="3"/>
  <c r="J15" i="3"/>
  <c r="J14" i="3"/>
  <c r="J13" i="3"/>
  <c r="J12" i="3"/>
  <c r="J11" i="3"/>
  <c r="J10" i="3"/>
  <c r="J9" i="3"/>
  <c r="J8" i="3"/>
  <c r="J7" i="3"/>
  <c r="J6" i="3"/>
  <c r="L8" i="3"/>
  <c r="K23" i="3"/>
  <c r="K19" i="3"/>
  <c r="K16" i="3"/>
  <c r="K14" i="3"/>
  <c r="K11" i="3"/>
  <c r="K8" i="3"/>
  <c r="P1" i="3"/>
  <c r="Q1" i="3" s="1"/>
  <c r="R1" i="3" s="1"/>
  <c r="S1" i="3" s="1"/>
  <c r="P17" i="4"/>
  <c r="P16" i="4"/>
  <c r="K26" i="3" l="1"/>
  <c r="K27" i="3" s="1"/>
  <c r="I26" i="3"/>
  <c r="I27" i="3" s="1"/>
  <c r="J26" i="3"/>
  <c r="Q16" i="4"/>
  <c r="Q17" i="4"/>
  <c r="R17" i="4" l="1"/>
  <c r="R16" i="4"/>
  <c r="S16" i="4" l="1"/>
  <c r="S17" i="4"/>
</calcChain>
</file>

<file path=xl/sharedStrings.xml><?xml version="1.0" encoding="utf-8"?>
<sst xmlns="http://schemas.openxmlformats.org/spreadsheetml/2006/main" count="218" uniqueCount="100">
  <si>
    <t>unit</t>
  </si>
  <si>
    <t>AVG (2022-2026)</t>
  </si>
  <si>
    <t>Inflation</t>
  </si>
  <si>
    <t>%</t>
  </si>
  <si>
    <t>Inflation real</t>
  </si>
  <si>
    <t>Inflation forecast</t>
  </si>
  <si>
    <t>Capacity based target revenues</t>
  </si>
  <si>
    <t>mEUR</t>
  </si>
  <si>
    <t>xxx</t>
  </si>
  <si>
    <t>cells containing input data</t>
  </si>
  <si>
    <t>cells containing link to other sheet</t>
  </si>
  <si>
    <t>Forecasted contracted capacity</t>
  </si>
  <si>
    <t>Entry</t>
  </si>
  <si>
    <t>MWh/d</t>
  </si>
  <si>
    <t>Exit</t>
  </si>
  <si>
    <t>Lanzhot</t>
  </si>
  <si>
    <t>Budince</t>
  </si>
  <si>
    <t>Domestic Point</t>
  </si>
  <si>
    <t>Velke Zlievce</t>
  </si>
  <si>
    <t>Velke Kapusany</t>
  </si>
  <si>
    <t>Vyrava</t>
  </si>
  <si>
    <t>Baumgarten</t>
  </si>
  <si>
    <t>Economic parameters</t>
  </si>
  <si>
    <t>split ENTRY</t>
  </si>
  <si>
    <t>split EXIT</t>
  </si>
  <si>
    <t>Original tariffs</t>
  </si>
  <si>
    <t>EUR/MWh/d/y</t>
  </si>
  <si>
    <t>TSO</t>
  </si>
  <si>
    <t>currency</t>
  </si>
  <si>
    <t>original unit</t>
  </si>
  <si>
    <t>ENTRY min</t>
  </si>
  <si>
    <t>ENTRY max</t>
  </si>
  <si>
    <t>EXIT min</t>
  </si>
  <si>
    <t>EXIT max</t>
  </si>
  <si>
    <t>Net4Gas</t>
  </si>
  <si>
    <t>CZK</t>
  </si>
  <si>
    <t>MWh/d/y</t>
  </si>
  <si>
    <t>fluxys BE</t>
  </si>
  <si>
    <t>EUR</t>
  </si>
  <si>
    <t>kWh/h/y</t>
  </si>
  <si>
    <t>energinet.dk</t>
  </si>
  <si>
    <t>DKK</t>
  </si>
  <si>
    <t>GTS</t>
  </si>
  <si>
    <t>FGSZ</t>
  </si>
  <si>
    <t>HUF</t>
  </si>
  <si>
    <t>GUD</t>
  </si>
  <si>
    <t>EURct</t>
  </si>
  <si>
    <t>kWh/h/d</t>
  </si>
  <si>
    <t>ontras</t>
  </si>
  <si>
    <t>gascade</t>
  </si>
  <si>
    <t>GRT gaz DE</t>
  </si>
  <si>
    <t>OGE</t>
  </si>
  <si>
    <t>Gaz System - NTS</t>
  </si>
  <si>
    <t>PLNgr</t>
  </si>
  <si>
    <t>Gaz System - Yamal</t>
  </si>
  <si>
    <t>PLN</t>
  </si>
  <si>
    <t>MWh/d/d</t>
  </si>
  <si>
    <t>Austria (GCA, TAG)</t>
  </si>
  <si>
    <t>SNAM</t>
  </si>
  <si>
    <t>Smc/d/y</t>
  </si>
  <si>
    <t>GRT gaz FR</t>
  </si>
  <si>
    <t>Plinovodi</t>
  </si>
  <si>
    <t>kWh/d/y</t>
  </si>
  <si>
    <t>Transgaz RO</t>
  </si>
  <si>
    <t>RON</t>
  </si>
  <si>
    <t>MWh/h</t>
  </si>
  <si>
    <t>Enagas</t>
  </si>
  <si>
    <t>kWh/d/m</t>
  </si>
  <si>
    <t>Bulgartransgaz</t>
  </si>
  <si>
    <t>BGN</t>
  </si>
  <si>
    <t>eustream</t>
  </si>
  <si>
    <t>average non EUS</t>
  </si>
  <si>
    <t>Units</t>
  </si>
  <si>
    <t>MWh/h/y</t>
  </si>
  <si>
    <t>GCV</t>
  </si>
  <si>
    <t>kWh/Smc</t>
  </si>
  <si>
    <t>Exchange rate</t>
  </si>
  <si>
    <t>Tariff escalation from 2018</t>
  </si>
  <si>
    <t>escalation 2022 vs 2018</t>
  </si>
  <si>
    <t>RAW reference prices</t>
  </si>
  <si>
    <t>Capacity based target revenues at ENTRIES</t>
  </si>
  <si>
    <t>Capacity based target revenues at EXITS</t>
  </si>
  <si>
    <t>ENTRY RAW reference prices (2022)</t>
  </si>
  <si>
    <t>EXIT RAW reference prices (2022)</t>
  </si>
  <si>
    <t>ENTRY FINAL reference prices (2022)</t>
  </si>
  <si>
    <t>EXIT FINAL reference prices (2022)</t>
  </si>
  <si>
    <t>Estimated ENTRY FINAL reference prices (2023-2026)</t>
  </si>
  <si>
    <t>Estimated EXIT FINAL reference prices (2023-2026)</t>
  </si>
  <si>
    <t>cells containing calculated data</t>
  </si>
  <si>
    <t>Common unit (EUR/MWh/d/y)</t>
  </si>
  <si>
    <t>Benchmark escalation from 2018</t>
  </si>
  <si>
    <t>Disclaimer:</t>
  </si>
  <si>
    <r>
      <t>By using the Simplified Tariff Model available on the website of eustream, a.s., with its registered office at Votrubova 11/A, 821 09 Bratislava, Slovak Republic, ID No. (IČO): 35 910 712, a company registered in the Commercial Register maintained by the District Court Bratislava I, Section: Sa, Insert No.: 3480/B (“</t>
    </r>
    <r>
      <rPr>
        <b/>
        <sz val="10"/>
        <color theme="1"/>
        <rFont val="Calibri"/>
        <family val="2"/>
        <charset val="238"/>
      </rPr>
      <t>Eustream</t>
    </r>
    <r>
      <rPr>
        <sz val="10"/>
        <color theme="1"/>
        <rFont val="Calibri"/>
        <family val="2"/>
        <charset val="238"/>
      </rPr>
      <t>“), its users acknowledge and agree that the Simplified Tariff Model, including any information provided therein, is not binding and may be used for information purposes only. The Simplified Tariff Model or calculations or any other information obtained in connection with the use thereof may not, under any circumstances, be considered to represent:</t>
    </r>
  </si>
  <si>
    <t>(i) provision of commercial, investment or any other advice;</t>
  </si>
  <si>
    <t>(ii) proposal or acceptance of any contractual offer by Eustream or any third parties; and/or</t>
  </si>
  <si>
    <t>(iii) undertaking or warranty given by Eustream in relation to its current or future transmission tariffs</t>
  </si>
  <si>
    <t>With regard to the above, the users bear sole responsibility for the use, evaluation, interpretation and/or analysis of the Simplified Tariff Model or any information obtained in connection with the use thereof. Eustream is not responsible for business or any other decisions adopted on the basis of the Simplified Tariff Model or any information obtained in connection with the use thereof and is not liable for any existing or future damage or loss caused directly or indirectly by the use of the Simplified Tariff Model or any information obtained in connection with the use thereof.</t>
  </si>
  <si>
    <t>FINAL reference prices (2022-2026)</t>
  </si>
  <si>
    <t>Current tariff level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</si>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</sst>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000%"/>
    <numFmt numFmtId="165" formatCode="0.0"/>
    <numFmt numFmtId="166" formatCode="#,##0.00000"/>
    <numFmt numFmtId="167" formatCode="0.000%"/>
  </numFmts>
  <fonts count="11" x14ac:knownFonts="1">
    <font>
      <sz val="11"/>
      <color theme="1"/>
      <name val="Arial"/>
      <family val="2"/>
      <charset val="238"/>
    </font>
    <font>
      <sz val="11"/>
      <color theme="1"/>
      <name val="Arial"/>
      <family val="2"/>
      <charset val="238"/>
    </font>
    <font>
      <b/>
      <sz val="11"/>
      <color theme="0"/>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sz val="10"/>
      <color theme="1"/>
      <name val="Calibri"/>
      <family val="2"/>
      <charset val="238"/>
    </font>
    <font>
      <b/>
      <sz val="10"/>
      <color theme="1"/>
      <name val="Calibri"/>
      <family val="2"/>
      <charset val="238"/>
    </font>
  </fonts>
  <fills count="6">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249977111117893"/>
        <bgColor indexed="64"/>
      </patternFill>
    </fill>
  </fills>
  <borders count="7">
    <border>
      <left/>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tted">
        <color indexed="64"/>
      </left>
      <right style="dotted">
        <color indexed="64"/>
      </right>
      <top/>
      <bottom style="dotted">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 fillId="0" borderId="0"/>
    <xf numFmtId="0" fontId="6" fillId="0" borderId="0"/>
  </cellStyleXfs>
  <cellXfs count="57">
    <xf numFmtId="0" fontId="0" fillId="0" borderId="0" xfId="0"/>
    <xf numFmtId="0" fontId="3" fillId="0" borderId="0" xfId="0" applyFont="1"/>
    <xf numFmtId="0" fontId="3" fillId="0" borderId="0" xfId="0" applyFont="1" applyAlignment="1">
      <alignment horizontal="center"/>
    </xf>
    <xf numFmtId="10" fontId="3" fillId="0" borderId="0" xfId="0" applyNumberFormat="1" applyFont="1"/>
    <xf numFmtId="10" fontId="3" fillId="3" borderId="1" xfId="1" applyNumberFormat="1" applyFont="1" applyFill="1" applyBorder="1" applyAlignment="1">
      <alignment horizontal="right" vertical="center"/>
    </xf>
    <xf numFmtId="10" fontId="3" fillId="0" borderId="1" xfId="1" applyNumberFormat="1" applyFont="1" applyFill="1" applyBorder="1" applyAlignment="1">
      <alignment horizontal="right" vertical="center"/>
    </xf>
    <xf numFmtId="0" fontId="3" fillId="0" borderId="0" xfId="0" applyFont="1" applyAlignment="1">
      <alignment horizontal="right"/>
    </xf>
    <xf numFmtId="0" fontId="3" fillId="0" borderId="0" xfId="2" applyFont="1"/>
    <xf numFmtId="0" fontId="4" fillId="0" borderId="4" xfId="2" applyFont="1" applyBorder="1"/>
    <xf numFmtId="0" fontId="3" fillId="0" borderId="4" xfId="2" applyFont="1" applyBorder="1"/>
    <xf numFmtId="0" fontId="7" fillId="0" borderId="0" xfId="3" applyFont="1" applyFill="1" applyBorder="1"/>
    <xf numFmtId="0" fontId="8" fillId="0" borderId="0" xfId="3" applyFont="1" applyFill="1" applyBorder="1"/>
    <xf numFmtId="3" fontId="3" fillId="0" borderId="0" xfId="3" applyNumberFormat="1" applyFont="1" applyBorder="1"/>
    <xf numFmtId="166" fontId="3" fillId="0" borderId="0" xfId="3" applyNumberFormat="1" applyFont="1" applyBorder="1"/>
    <xf numFmtId="3" fontId="3" fillId="0" borderId="0" xfId="2" applyNumberFormat="1" applyFont="1"/>
    <xf numFmtId="0" fontId="3" fillId="0" borderId="0" xfId="2" applyFont="1" applyFill="1" applyBorder="1"/>
    <xf numFmtId="0" fontId="4" fillId="0" borderId="0" xfId="2" applyFont="1" applyFill="1" applyBorder="1"/>
    <xf numFmtId="4" fontId="3" fillId="0" borderId="0" xfId="3" applyNumberFormat="1" applyFont="1" applyFill="1" applyBorder="1"/>
    <xf numFmtId="0" fontId="3" fillId="0" borderId="0" xfId="2" applyFont="1" applyBorder="1"/>
    <xf numFmtId="0" fontId="3" fillId="3" borderId="1" xfId="2" applyFont="1" applyFill="1" applyBorder="1"/>
    <xf numFmtId="0" fontId="5" fillId="5" borderId="2" xfId="2" applyFont="1" applyFill="1" applyBorder="1"/>
    <xf numFmtId="0" fontId="5" fillId="5" borderId="3" xfId="2" applyFont="1" applyFill="1" applyBorder="1"/>
    <xf numFmtId="2" fontId="3" fillId="0" borderId="0" xfId="2" applyNumberFormat="1" applyFont="1" applyBorder="1"/>
    <xf numFmtId="3" fontId="3" fillId="3" borderId="5" xfId="3" applyNumberFormat="1" applyFont="1" applyFill="1" applyBorder="1"/>
    <xf numFmtId="4" fontId="3" fillId="0" borderId="6" xfId="3" applyNumberFormat="1" applyFont="1" applyFill="1" applyBorder="1"/>
    <xf numFmtId="4" fontId="3" fillId="3" borderId="1" xfId="3" applyNumberFormat="1" applyFont="1" applyFill="1" applyBorder="1"/>
    <xf numFmtId="167" fontId="3" fillId="0" borderId="1" xfId="2" applyNumberFormat="1" applyFont="1" applyBorder="1"/>
    <xf numFmtId="167" fontId="3" fillId="0" borderId="0" xfId="2" applyNumberFormat="1" applyFont="1"/>
    <xf numFmtId="2" fontId="3" fillId="0" borderId="0" xfId="2" applyNumberFormat="1" applyFont="1" applyFill="1" applyBorder="1"/>
    <xf numFmtId="0" fontId="9" fillId="0" borderId="0" xfId="0" applyFont="1"/>
    <xf numFmtId="0" fontId="9" fillId="0" borderId="0" xfId="0" applyFont="1" applyAlignment="1">
      <alignment vertical="center"/>
    </xf>
    <xf numFmtId="167" fontId="3" fillId="0" borderId="0" xfId="0" applyNumberFormat="1" applyFont="1"/>
    <xf numFmtId="0" fontId="2" fillId="2" borderId="0" xfId="0" applyFont="1" applyFill="1" applyProtection="1">
      <protection hidden="1"/>
    </xf>
    <xf numFmtId="0" fontId="2" fillId="2" borderId="0" xfId="0" applyFont="1" applyFill="1" applyAlignment="1" applyProtection="1">
      <alignment horizontal="center"/>
      <protection hidden="1"/>
    </xf>
    <xf numFmtId="0" fontId="3" fillId="0" borderId="0" xfId="0" applyFont="1" applyFill="1" applyProtection="1">
      <protection hidden="1"/>
    </xf>
    <xf numFmtId="0" fontId="2" fillId="4" borderId="0" xfId="0" applyFont="1" applyFill="1" applyProtection="1">
      <protection hidden="1"/>
    </xf>
    <xf numFmtId="0" fontId="2" fillId="4" borderId="0" xfId="0" applyFont="1" applyFill="1" applyAlignment="1" applyProtection="1">
      <alignment horizontal="center"/>
      <protection hidden="1"/>
    </xf>
    <xf numFmtId="0" fontId="3" fillId="0" borderId="0" xfId="0" applyFont="1" applyProtection="1">
      <protection hidden="1"/>
    </xf>
    <xf numFmtId="0" fontId="3" fillId="0" borderId="0" xfId="0" applyFont="1" applyAlignment="1" applyProtection="1">
      <alignment horizontal="center"/>
      <protection hidden="1"/>
    </xf>
    <xf numFmtId="10" fontId="3" fillId="3" borderId="1" xfId="1" applyNumberFormat="1" applyFont="1" applyFill="1" applyBorder="1" applyProtection="1">
      <protection hidden="1"/>
    </xf>
    <xf numFmtId="10" fontId="3" fillId="0" borderId="0" xfId="1" applyNumberFormat="1" applyFont="1" applyFill="1" applyBorder="1" applyProtection="1">
      <protection hidden="1"/>
    </xf>
    <xf numFmtId="164" fontId="3" fillId="0" borderId="0" xfId="0" applyNumberFormat="1" applyFont="1" applyProtection="1">
      <protection hidden="1"/>
    </xf>
    <xf numFmtId="10" fontId="3" fillId="3" borderId="1" xfId="1" applyNumberFormat="1" applyFont="1" applyFill="1" applyBorder="1" applyProtection="1">
      <protection locked="0" hidden="1"/>
    </xf>
    <xf numFmtId="10" fontId="3" fillId="0" borderId="0" xfId="0" applyNumberFormat="1" applyFont="1" applyProtection="1">
      <protection hidden="1"/>
    </xf>
    <xf numFmtId="165" fontId="3" fillId="0" borderId="0" xfId="0" applyNumberFormat="1" applyFont="1" applyProtection="1">
      <protection hidden="1"/>
    </xf>
    <xf numFmtId="165" fontId="3" fillId="3" borderId="1" xfId="0" applyNumberFormat="1" applyFont="1" applyFill="1" applyBorder="1" applyProtection="1">
      <protection locked="0" hidden="1"/>
    </xf>
    <xf numFmtId="0" fontId="4" fillId="0" borderId="0" xfId="0" applyFont="1" applyFill="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3" fontId="4" fillId="0" borderId="0" xfId="0" applyNumberFormat="1" applyFont="1" applyProtection="1">
      <protection hidden="1"/>
    </xf>
    <xf numFmtId="3" fontId="3" fillId="3" borderId="1" xfId="0" applyNumberFormat="1" applyFont="1" applyFill="1" applyBorder="1" applyProtection="1">
      <protection locked="0" hidden="1"/>
    </xf>
    <xf numFmtId="3" fontId="3" fillId="0" borderId="0" xfId="0" applyNumberFormat="1" applyFont="1" applyProtection="1">
      <protection hidden="1"/>
    </xf>
    <xf numFmtId="165" fontId="2" fillId="4" borderId="0" xfId="0" applyNumberFormat="1" applyFont="1" applyFill="1" applyProtection="1">
      <protection hidden="1"/>
    </xf>
    <xf numFmtId="0" fontId="5" fillId="5" borderId="2" xfId="2" applyFont="1" applyFill="1" applyBorder="1" applyAlignment="1">
      <alignment horizontal="center"/>
    </xf>
    <xf numFmtId="4" fontId="3" fillId="3" borderId="1" xfId="0" applyNumberFormat="1" applyFont="1" applyFill="1" applyBorder="1" applyProtection="1">
      <protection locked="0" hidden="1"/>
    </xf>
    <xf numFmtId="4" fontId="3" fillId="0" borderId="0" xfId="0" applyNumberFormat="1" applyFont="1" applyProtection="1">
      <protection hidden="1"/>
    </xf>
    <xf numFmtId="4" fontId="4" fillId="0" borderId="0" xfId="0" applyNumberFormat="1" applyFont="1" applyProtection="1">
      <protection hidden="1"/>
    </xf>
  </cellXfs>
  <cellStyles count="4">
    <cellStyle name="_x000d__x000a_JournalTemplate=C:\COMFO\CTALK\JOURSTD.TPL_x000d__x000a_LbStateAddress=3 3 0 251 1 89 2 311_x000d__x000a_LbStateJou" xfId="3"/>
    <cellStyle name="Normálna" xfId="0" builtinId="0"/>
    <cellStyle name="Normálna 7" xfId="2"/>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7"/>
  <sheetViews>
    <sheetView workbookViewId="0"/>
  </sheetViews>
  <sheetFormatPr defaultRowHeight="14.4" x14ac:dyDescent="0.3"/>
  <cols>
    <col min="1" max="16384" width="8.796875" style="1"/>
  </cols>
  <sheetData>
    <row r="3" spans="2:4" x14ac:dyDescent="0.3">
      <c r="B3" s="4" t="s">
        <v>8</v>
      </c>
      <c r="D3" s="1" t="s">
        <v>9</v>
      </c>
    </row>
    <row r="4" spans="2:4" x14ac:dyDescent="0.3">
      <c r="B4" s="5" t="s">
        <v>8</v>
      </c>
      <c r="D4" s="1" t="s">
        <v>10</v>
      </c>
    </row>
    <row r="5" spans="2:4" x14ac:dyDescent="0.3">
      <c r="B5" s="6" t="s">
        <v>8</v>
      </c>
      <c r="D5" s="1" t="s">
        <v>88</v>
      </c>
    </row>
    <row r="9" spans="2:4" x14ac:dyDescent="0.3">
      <c r="B9" s="1" t="s">
        <v>91</v>
      </c>
    </row>
    <row r="11" spans="2:4" x14ac:dyDescent="0.3">
      <c r="B11" s="30" t="s">
        <v>92</v>
      </c>
    </row>
    <row r="12" spans="2:4" x14ac:dyDescent="0.3">
      <c r="B12" s="30"/>
    </row>
    <row r="13" spans="2:4" x14ac:dyDescent="0.3">
      <c r="B13" s="30" t="s">
        <v>93</v>
      </c>
    </row>
    <row r="14" spans="2:4" x14ac:dyDescent="0.3">
      <c r="B14" s="30" t="s">
        <v>94</v>
      </c>
    </row>
    <row r="15" spans="2:4" x14ac:dyDescent="0.3">
      <c r="B15" s="30" t="s">
        <v>95</v>
      </c>
    </row>
    <row r="16" spans="2:4" x14ac:dyDescent="0.3">
      <c r="B16" s="30"/>
    </row>
    <row r="17" spans="2:2" x14ac:dyDescent="0.3">
      <c r="B17" s="29" t="s">
        <v>96</v>
      </c>
    </row>
  </sheetData>
  <sheetProtection algorithmName="SHA-512" hashValue="pwcKvYNOOHKt1qmPm8m01N1gW5DBbeSOfZAdGx7+eUxWaWNcyXKyH0CvLkSvcFG3FUkwXO4qCByBr8TOleUA8A==" saltValue="vg0deou5xUDHYtWEu7VPqA=="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
  <sheetViews>
    <sheetView workbookViewId="0">
      <pane xSplit="7" ySplit="1" topLeftCell="H2" activePane="bottomRight" state="frozen"/>
      <selection pane="topRight" activeCell="H1" sqref="H1"/>
      <selection pane="bottomLeft" activeCell="A2" sqref="A2"/>
      <selection pane="bottomRight" activeCell="M6" sqref="M6"/>
    </sheetView>
  </sheetViews>
  <sheetFormatPr defaultRowHeight="14.4" x14ac:dyDescent="0.3"/>
  <cols>
    <col min="1" max="10" width="8.796875" style="37"/>
    <col min="11" max="11" width="9" style="37" bestFit="1" customWidth="1"/>
    <col min="12" max="12" width="9.09765625" style="37" bestFit="1" customWidth="1"/>
    <col min="13" max="14" width="9" style="37" bestFit="1" customWidth="1"/>
    <col min="15" max="15" width="10.8984375" style="37" bestFit="1" customWidth="1"/>
    <col min="16" max="19" width="9" style="37" bestFit="1" customWidth="1"/>
    <col min="20" max="20" width="13.69921875" style="37" bestFit="1" customWidth="1"/>
    <col min="21" max="16384" width="8.796875" style="37"/>
  </cols>
  <sheetData>
    <row r="1" spans="1:57" s="34" customFormat="1" x14ac:dyDescent="0.3">
      <c r="A1" s="32"/>
      <c r="B1" s="32"/>
      <c r="C1" s="32"/>
      <c r="D1" s="32"/>
      <c r="E1" s="32"/>
      <c r="F1" s="32"/>
      <c r="G1" s="33" t="s">
        <v>0</v>
      </c>
      <c r="H1" s="33">
        <v>2015</v>
      </c>
      <c r="I1" s="33">
        <v>2016</v>
      </c>
      <c r="J1" s="33">
        <v>2017</v>
      </c>
      <c r="K1" s="33">
        <v>2018</v>
      </c>
      <c r="L1" s="33">
        <v>2019</v>
      </c>
      <c r="M1" s="33">
        <v>2020</v>
      </c>
      <c r="N1" s="33">
        <v>2021</v>
      </c>
      <c r="O1" s="33">
        <v>2022</v>
      </c>
      <c r="P1" s="33">
        <v>2023</v>
      </c>
      <c r="Q1" s="33">
        <v>2024</v>
      </c>
      <c r="R1" s="33">
        <v>2025</v>
      </c>
      <c r="S1" s="33">
        <v>2026</v>
      </c>
      <c r="T1" s="33" t="s">
        <v>1</v>
      </c>
      <c r="U1" s="33"/>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row>
    <row r="3" spans="1:57" x14ac:dyDescent="0.3">
      <c r="A3" s="35" t="s">
        <v>22</v>
      </c>
      <c r="B3" s="35"/>
      <c r="C3" s="35"/>
      <c r="D3" s="35"/>
      <c r="E3" s="35"/>
      <c r="F3" s="35"/>
      <c r="G3" s="36"/>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row>
    <row r="5" spans="1:57" x14ac:dyDescent="0.3">
      <c r="B5" s="37" t="s">
        <v>4</v>
      </c>
      <c r="G5" s="38" t="s">
        <v>3</v>
      </c>
      <c r="H5" s="39">
        <v>0</v>
      </c>
      <c r="I5" s="39">
        <v>3.0000000000000001E-3</v>
      </c>
      <c r="J5" s="39">
        <v>1.7000000000000001E-2</v>
      </c>
      <c r="T5" s="40"/>
      <c r="U5" s="40"/>
      <c r="V5" s="41"/>
    </row>
    <row r="6" spans="1:57" x14ac:dyDescent="0.3">
      <c r="B6" s="37" t="s">
        <v>5</v>
      </c>
      <c r="G6" s="38" t="s">
        <v>3</v>
      </c>
      <c r="K6" s="39">
        <v>1.7999999999999999E-2</v>
      </c>
      <c r="L6" s="42">
        <v>1.7999999999999999E-2</v>
      </c>
      <c r="M6" s="42">
        <v>1.7999999999999999E-2</v>
      </c>
      <c r="N6" s="42">
        <v>1.7999999999999999E-2</v>
      </c>
      <c r="O6" s="42">
        <v>1.7999999999999999E-2</v>
      </c>
      <c r="P6" s="42">
        <v>1.7999999999999999E-2</v>
      </c>
      <c r="Q6" s="42">
        <v>1.7999999999999999E-2</v>
      </c>
      <c r="R6" s="42">
        <v>1.7999999999999999E-2</v>
      </c>
      <c r="S6" s="42">
        <v>1.7999999999999999E-2</v>
      </c>
      <c r="T6" s="40">
        <v>1.7999999999999999E-2</v>
      </c>
      <c r="U6" s="40"/>
      <c r="V6" s="41"/>
    </row>
    <row r="7" spans="1:57" x14ac:dyDescent="0.3">
      <c r="B7" s="37" t="s">
        <v>2</v>
      </c>
      <c r="G7" s="38" t="s">
        <v>3</v>
      </c>
      <c r="H7" s="43">
        <f>SUM(H5:H6)</f>
        <v>0</v>
      </c>
      <c r="I7" s="43">
        <f t="shared" ref="I7:S7" si="0">SUM(I5:I6)</f>
        <v>3.0000000000000001E-3</v>
      </c>
      <c r="J7" s="43">
        <f t="shared" si="0"/>
        <v>1.7000000000000001E-2</v>
      </c>
      <c r="K7" s="43">
        <f t="shared" si="0"/>
        <v>1.7999999999999999E-2</v>
      </c>
      <c r="L7" s="43">
        <f t="shared" si="0"/>
        <v>1.7999999999999999E-2</v>
      </c>
      <c r="M7" s="43">
        <f t="shared" si="0"/>
        <v>1.7999999999999999E-2</v>
      </c>
      <c r="N7" s="43">
        <f t="shared" si="0"/>
        <v>1.7999999999999999E-2</v>
      </c>
      <c r="O7" s="43">
        <f t="shared" si="0"/>
        <v>1.7999999999999999E-2</v>
      </c>
      <c r="P7" s="43">
        <f t="shared" si="0"/>
        <v>1.7999999999999999E-2</v>
      </c>
      <c r="Q7" s="43">
        <f t="shared" si="0"/>
        <v>1.7999999999999999E-2</v>
      </c>
      <c r="R7" s="43">
        <f t="shared" si="0"/>
        <v>1.7999999999999999E-2</v>
      </c>
      <c r="S7" s="43">
        <f t="shared" si="0"/>
        <v>1.7999999999999999E-2</v>
      </c>
    </row>
    <row r="8" spans="1:57" x14ac:dyDescent="0.3">
      <c r="B8" s="37" t="s">
        <v>77</v>
      </c>
      <c r="G8" s="38"/>
      <c r="H8" s="43"/>
      <c r="I8" s="43"/>
      <c r="J8" s="43"/>
      <c r="K8" s="43">
        <v>1</v>
      </c>
      <c r="L8" s="43">
        <f t="shared" ref="L8:S8" si="1">K8+K8*J7/2</f>
        <v>1.0085</v>
      </c>
      <c r="M8" s="43">
        <f t="shared" si="1"/>
        <v>1.0175764999999999</v>
      </c>
      <c r="N8" s="43">
        <f t="shared" si="1"/>
        <v>1.0267346884999999</v>
      </c>
      <c r="O8" s="43">
        <f t="shared" si="1"/>
        <v>1.0359753006965</v>
      </c>
      <c r="P8" s="43">
        <f t="shared" si="1"/>
        <v>1.0452990784027685</v>
      </c>
      <c r="Q8" s="43">
        <f t="shared" si="1"/>
        <v>1.0547067701083934</v>
      </c>
      <c r="R8" s="43">
        <f t="shared" si="1"/>
        <v>1.064199131039369</v>
      </c>
      <c r="S8" s="43">
        <f t="shared" si="1"/>
        <v>1.0737769232187233</v>
      </c>
    </row>
    <row r="10" spans="1:57" x14ac:dyDescent="0.3">
      <c r="B10" s="37" t="s">
        <v>6</v>
      </c>
      <c r="G10" s="37" t="s">
        <v>7</v>
      </c>
      <c r="O10" s="44"/>
      <c r="P10" s="44"/>
      <c r="Q10" s="44"/>
      <c r="R10" s="44"/>
      <c r="S10" s="44"/>
      <c r="T10" s="45">
        <v>666.77166625976315</v>
      </c>
    </row>
    <row r="11" spans="1:57" x14ac:dyDescent="0.3">
      <c r="O11" s="44"/>
      <c r="P11" s="44"/>
      <c r="Q11" s="44"/>
      <c r="R11" s="44"/>
      <c r="S11" s="44"/>
    </row>
    <row r="12" spans="1:57" x14ac:dyDescent="0.3">
      <c r="B12" s="37" t="s">
        <v>23</v>
      </c>
      <c r="G12" s="37" t="s">
        <v>3</v>
      </c>
      <c r="O12" s="44"/>
      <c r="P12" s="44"/>
      <c r="Q12" s="44"/>
      <c r="R12" s="44"/>
      <c r="S12" s="44"/>
      <c r="T12" s="42">
        <v>0.5</v>
      </c>
    </row>
    <row r="13" spans="1:57" x14ac:dyDescent="0.3">
      <c r="B13" s="37" t="s">
        <v>24</v>
      </c>
      <c r="G13" s="37" t="s">
        <v>3</v>
      </c>
      <c r="O13" s="44"/>
      <c r="P13" s="44"/>
      <c r="Q13" s="44"/>
      <c r="R13" s="44"/>
      <c r="S13" s="44"/>
      <c r="T13" s="43">
        <f t="shared" ref="T13" si="2">1-T12</f>
        <v>0.5</v>
      </c>
    </row>
    <row r="15" spans="1:57" x14ac:dyDescent="0.3">
      <c r="A15" s="35" t="s">
        <v>11</v>
      </c>
      <c r="B15" s="35"/>
      <c r="C15" s="35"/>
      <c r="D15" s="35"/>
      <c r="E15" s="35"/>
      <c r="F15" s="35"/>
      <c r="G15" s="36"/>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row>
    <row r="17" spans="2:20" x14ac:dyDescent="0.3">
      <c r="B17" s="46" t="s">
        <v>12</v>
      </c>
      <c r="C17" s="47"/>
      <c r="D17" s="47"/>
      <c r="E17" s="47"/>
      <c r="F17" s="47"/>
      <c r="G17" s="48" t="s">
        <v>13</v>
      </c>
      <c r="O17" s="49">
        <f t="shared" ref="O17:S17" si="3">SUM(O18:O24)</f>
        <v>1832668.493150685</v>
      </c>
      <c r="P17" s="49">
        <f t="shared" si="3"/>
        <v>1918468.493150685</v>
      </c>
      <c r="Q17" s="49">
        <f t="shared" si="3"/>
        <v>1918468.493150685</v>
      </c>
      <c r="R17" s="49">
        <f t="shared" si="3"/>
        <v>1918468.493150685</v>
      </c>
      <c r="S17" s="49">
        <f t="shared" si="3"/>
        <v>1918468.493150685</v>
      </c>
      <c r="T17" s="49">
        <f>AVERAGE(O17:S17)</f>
        <v>1901308.493150685</v>
      </c>
    </row>
    <row r="18" spans="2:20" x14ac:dyDescent="0.3">
      <c r="B18" s="34" t="s">
        <v>15</v>
      </c>
      <c r="G18" s="38" t="s">
        <v>13</v>
      </c>
      <c r="O18" s="50">
        <v>245041.09589041097</v>
      </c>
      <c r="P18" s="50">
        <v>245041.09589041097</v>
      </c>
      <c r="Q18" s="50">
        <v>245041.09589041097</v>
      </c>
      <c r="R18" s="50">
        <v>245041.09589041097</v>
      </c>
      <c r="S18" s="50">
        <v>245041.09589041097</v>
      </c>
      <c r="T18" s="51">
        <f>AVERAGE(O18:S18)</f>
        <v>245041.095890411</v>
      </c>
    </row>
    <row r="19" spans="2:20" x14ac:dyDescent="0.3">
      <c r="B19" s="34" t="s">
        <v>21</v>
      </c>
      <c r="G19" s="38" t="s">
        <v>13</v>
      </c>
      <c r="O19" s="50">
        <v>0</v>
      </c>
      <c r="P19" s="50">
        <v>0</v>
      </c>
      <c r="Q19" s="50">
        <v>0</v>
      </c>
      <c r="R19" s="50">
        <v>0</v>
      </c>
      <c r="S19" s="50">
        <v>0</v>
      </c>
      <c r="T19" s="51">
        <f t="shared" ref="T19:T24" si="4">AVERAGE(O19:S19)</f>
        <v>0</v>
      </c>
    </row>
    <row r="20" spans="2:20" x14ac:dyDescent="0.3">
      <c r="B20" s="34" t="s">
        <v>17</v>
      </c>
      <c r="G20" s="38" t="s">
        <v>13</v>
      </c>
      <c r="J20" s="51"/>
      <c r="O20" s="50">
        <v>15600</v>
      </c>
      <c r="P20" s="50">
        <v>15600</v>
      </c>
      <c r="Q20" s="50">
        <v>15600</v>
      </c>
      <c r="R20" s="50">
        <v>15600</v>
      </c>
      <c r="S20" s="50">
        <v>15600</v>
      </c>
      <c r="T20" s="51">
        <f t="shared" si="4"/>
        <v>15600</v>
      </c>
    </row>
    <row r="21" spans="2:20" x14ac:dyDescent="0.3">
      <c r="B21" s="34" t="s">
        <v>18</v>
      </c>
      <c r="G21" s="38" t="s">
        <v>13</v>
      </c>
      <c r="J21" s="51"/>
      <c r="O21" s="50">
        <v>28600</v>
      </c>
      <c r="P21" s="50">
        <v>114400</v>
      </c>
      <c r="Q21" s="50">
        <v>114400</v>
      </c>
      <c r="R21" s="50">
        <v>114400</v>
      </c>
      <c r="S21" s="50">
        <v>114400</v>
      </c>
      <c r="T21" s="51">
        <f t="shared" si="4"/>
        <v>97240</v>
      </c>
    </row>
    <row r="22" spans="2:20" x14ac:dyDescent="0.3">
      <c r="B22" s="34" t="s">
        <v>19</v>
      </c>
      <c r="G22" s="38" t="s">
        <v>13</v>
      </c>
      <c r="O22" s="50">
        <v>1543427.397260274</v>
      </c>
      <c r="P22" s="50">
        <v>1543427.397260274</v>
      </c>
      <c r="Q22" s="50">
        <v>1543427.397260274</v>
      </c>
      <c r="R22" s="50">
        <v>1543427.397260274</v>
      </c>
      <c r="S22" s="50">
        <v>1543427.397260274</v>
      </c>
      <c r="T22" s="51">
        <f t="shared" si="4"/>
        <v>1543427.397260274</v>
      </c>
    </row>
    <row r="23" spans="2:20" x14ac:dyDescent="0.3">
      <c r="B23" s="34" t="s">
        <v>16</v>
      </c>
      <c r="G23" s="38" t="s">
        <v>13</v>
      </c>
      <c r="O23" s="50">
        <v>0</v>
      </c>
      <c r="P23" s="50">
        <v>0</v>
      </c>
      <c r="Q23" s="50">
        <v>0</v>
      </c>
      <c r="R23" s="50">
        <v>0</v>
      </c>
      <c r="S23" s="50">
        <v>0</v>
      </c>
      <c r="T23" s="51">
        <f t="shared" si="4"/>
        <v>0</v>
      </c>
    </row>
    <row r="24" spans="2:20" x14ac:dyDescent="0.3">
      <c r="B24" s="34" t="s">
        <v>20</v>
      </c>
      <c r="G24" s="38" t="s">
        <v>13</v>
      </c>
      <c r="O24" s="50">
        <v>0</v>
      </c>
      <c r="P24" s="50">
        <v>0</v>
      </c>
      <c r="Q24" s="50">
        <v>0</v>
      </c>
      <c r="R24" s="50">
        <v>0</v>
      </c>
      <c r="S24" s="50">
        <v>0</v>
      </c>
      <c r="T24" s="51">
        <f t="shared" si="4"/>
        <v>0</v>
      </c>
    </row>
    <row r="25" spans="2:20" x14ac:dyDescent="0.3">
      <c r="B25" s="34"/>
      <c r="G25" s="38"/>
    </row>
    <row r="26" spans="2:20" x14ac:dyDescent="0.3">
      <c r="B26" s="46" t="s">
        <v>14</v>
      </c>
      <c r="C26" s="47"/>
      <c r="D26" s="47"/>
      <c r="E26" s="47"/>
      <c r="F26" s="47"/>
      <c r="G26" s="48" t="s">
        <v>13</v>
      </c>
      <c r="O26" s="49">
        <f t="shared" ref="O26:S26" si="5">SUM(O27:O33)</f>
        <v>1910625.4383561644</v>
      </c>
      <c r="P26" s="49">
        <f t="shared" si="5"/>
        <v>1996425.5707762558</v>
      </c>
      <c r="Q26" s="49">
        <f t="shared" si="5"/>
        <v>1996425.5707762558</v>
      </c>
      <c r="R26" s="49">
        <f t="shared" si="5"/>
        <v>1996425.5707762558</v>
      </c>
      <c r="S26" s="49">
        <f t="shared" si="5"/>
        <v>1996425.5707762558</v>
      </c>
      <c r="T26" s="49">
        <f>AVERAGE(O26:S26)</f>
        <v>1979265.5442922376</v>
      </c>
    </row>
    <row r="27" spans="2:20" x14ac:dyDescent="0.3">
      <c r="B27" s="34" t="s">
        <v>15</v>
      </c>
      <c r="G27" s="38" t="s">
        <v>13</v>
      </c>
      <c r="O27" s="50">
        <v>12000</v>
      </c>
      <c r="P27" s="50">
        <v>12000</v>
      </c>
      <c r="Q27" s="50">
        <v>12000</v>
      </c>
      <c r="R27" s="50">
        <v>12000</v>
      </c>
      <c r="S27" s="50">
        <v>12000</v>
      </c>
      <c r="T27" s="51">
        <f>AVERAGE(O27:S27)</f>
        <v>12000</v>
      </c>
    </row>
    <row r="28" spans="2:20" x14ac:dyDescent="0.3">
      <c r="B28" s="34" t="s">
        <v>21</v>
      </c>
      <c r="G28" s="38" t="s">
        <v>13</v>
      </c>
      <c r="O28" s="50">
        <v>1509009</v>
      </c>
      <c r="P28" s="50">
        <v>1594809.1324200914</v>
      </c>
      <c r="Q28" s="50">
        <v>1594809.1324200914</v>
      </c>
      <c r="R28" s="50">
        <v>1594809.1324200914</v>
      </c>
      <c r="S28" s="50">
        <v>1594809.1324200914</v>
      </c>
      <c r="T28" s="51">
        <f t="shared" ref="T28:T33" si="6">AVERAGE(O28:S28)</f>
        <v>1577649.1059360732</v>
      </c>
    </row>
    <row r="29" spans="2:20" x14ac:dyDescent="0.3">
      <c r="B29" s="34" t="s">
        <v>17</v>
      </c>
      <c r="G29" s="38" t="s">
        <v>13</v>
      </c>
      <c r="O29" s="50">
        <v>139616.43835616441</v>
      </c>
      <c r="P29" s="50">
        <v>139616.43835616441</v>
      </c>
      <c r="Q29" s="50">
        <v>139616.43835616441</v>
      </c>
      <c r="R29" s="50">
        <v>139616.43835616441</v>
      </c>
      <c r="S29" s="50">
        <v>139616.43835616441</v>
      </c>
      <c r="T29" s="51">
        <f t="shared" si="6"/>
        <v>139616.43835616441</v>
      </c>
    </row>
    <row r="30" spans="2:20" x14ac:dyDescent="0.3">
      <c r="B30" s="34" t="s">
        <v>18</v>
      </c>
      <c r="G30" s="38" t="s">
        <v>13</v>
      </c>
      <c r="O30" s="50">
        <v>0</v>
      </c>
      <c r="P30" s="50">
        <v>0</v>
      </c>
      <c r="Q30" s="50">
        <v>0</v>
      </c>
      <c r="R30" s="50">
        <v>0</v>
      </c>
      <c r="S30" s="50">
        <v>0</v>
      </c>
      <c r="T30" s="51">
        <f t="shared" si="6"/>
        <v>0</v>
      </c>
    </row>
    <row r="31" spans="2:20" x14ac:dyDescent="0.3">
      <c r="B31" s="34" t="s">
        <v>19</v>
      </c>
      <c r="G31" s="38" t="s">
        <v>13</v>
      </c>
      <c r="O31" s="50">
        <v>0</v>
      </c>
      <c r="P31" s="50">
        <v>0</v>
      </c>
      <c r="Q31" s="50">
        <v>0</v>
      </c>
      <c r="R31" s="50">
        <v>0</v>
      </c>
      <c r="S31" s="50">
        <v>0</v>
      </c>
      <c r="T31" s="51">
        <f t="shared" si="6"/>
        <v>0</v>
      </c>
    </row>
    <row r="32" spans="2:20" x14ac:dyDescent="0.3">
      <c r="B32" s="34" t="s">
        <v>16</v>
      </c>
      <c r="G32" s="38" t="s">
        <v>13</v>
      </c>
      <c r="O32" s="50">
        <v>250000</v>
      </c>
      <c r="P32" s="50">
        <v>250000</v>
      </c>
      <c r="Q32" s="50">
        <v>250000</v>
      </c>
      <c r="R32" s="50">
        <v>250000</v>
      </c>
      <c r="S32" s="50">
        <v>250000</v>
      </c>
      <c r="T32" s="51">
        <f t="shared" si="6"/>
        <v>250000</v>
      </c>
    </row>
    <row r="33" spans="2:20" x14ac:dyDescent="0.3">
      <c r="B33" s="34" t="s">
        <v>20</v>
      </c>
      <c r="G33" s="38" t="s">
        <v>13</v>
      </c>
      <c r="O33" s="50">
        <v>0</v>
      </c>
      <c r="P33" s="50">
        <v>0</v>
      </c>
      <c r="Q33" s="50">
        <v>0</v>
      </c>
      <c r="R33" s="50">
        <v>0</v>
      </c>
      <c r="S33" s="50">
        <v>0</v>
      </c>
      <c r="T33" s="51">
        <f t="shared" si="6"/>
        <v>0</v>
      </c>
    </row>
  </sheetData>
  <sheetProtection algorithmName="SHA-512" hashValue="JDqLsfgiQG1+Nqn5HioNt3GiFg92JxHLgQXERWUYTmyxQ2BSxAMWeOSACQmrk1fb+GdFPULTGzsqd6Mt6QWuYw==" saltValue="+iHRWGxKki8HaN8G1R0A2Q==" spinCount="100000"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2"/>
  <sheetViews>
    <sheetView topLeftCell="D1" workbookViewId="0">
      <selection activeCell="O1" sqref="O1"/>
    </sheetView>
  </sheetViews>
  <sheetFormatPr defaultRowHeight="14.4" x14ac:dyDescent="0.3"/>
  <cols>
    <col min="2" max="2" width="17.19921875" style="7" bestFit="1" customWidth="1"/>
    <col min="3" max="3" width="10.8984375" style="7" customWidth="1"/>
    <col min="4" max="4" width="12.09765625" style="7" bestFit="1" customWidth="1"/>
    <col min="5" max="5" width="10.3984375" style="7" bestFit="1" customWidth="1"/>
    <col min="6" max="6" width="10.69921875" style="7" bestFit="1" customWidth="1"/>
    <col min="7" max="7" width="8.09765625" style="7" bestFit="1" customWidth="1"/>
    <col min="8" max="8" width="8.5" style="7" bestFit="1" customWidth="1"/>
    <col min="9" max="9" width="10.5" style="7" bestFit="1" customWidth="1"/>
    <col min="10" max="10" width="10.296875" style="7" customWidth="1"/>
    <col min="11" max="12" width="9.3984375" style="7" bestFit="1" customWidth="1"/>
  </cols>
  <sheetData>
    <row r="1" spans="2:19" s="1" customFormat="1" x14ac:dyDescent="0.3">
      <c r="B1" s="1" t="s">
        <v>90</v>
      </c>
      <c r="G1" s="2"/>
      <c r="H1" s="3"/>
      <c r="I1" s="3"/>
      <c r="J1" s="3"/>
      <c r="K1" s="3">
        <v>1</v>
      </c>
      <c r="L1" s="31">
        <f>K1+K1*'input data'!J7</f>
        <v>1.0169999999999999</v>
      </c>
      <c r="M1" s="31">
        <f>L1+L1*'input data'!K7</f>
        <v>1.0353059999999998</v>
      </c>
      <c r="N1" s="31">
        <f>M1+M1*'input data'!L7</f>
        <v>1.0539415079999999</v>
      </c>
      <c r="O1" s="31">
        <f>N1+N1*'input data'!M7</f>
        <v>1.0729124551439999</v>
      </c>
      <c r="P1" s="31">
        <f>O1+O1*'input data'!N7</f>
        <v>1.0922248793365918</v>
      </c>
      <c r="Q1" s="31">
        <f>P1+P1*'input data'!O7</f>
        <v>1.1118849271646505</v>
      </c>
      <c r="R1" s="31">
        <f>Q1+Q1*'input data'!P7</f>
        <v>1.1318988558536143</v>
      </c>
      <c r="S1" s="31">
        <f>R1+R1*'input data'!Q7</f>
        <v>1.1522730352589794</v>
      </c>
    </row>
    <row r="2" spans="2:19" x14ac:dyDescent="0.3">
      <c r="H2" s="7" t="s">
        <v>78</v>
      </c>
      <c r="J2" s="26">
        <f>O1</f>
        <v>1.0729124551439999</v>
      </c>
      <c r="K2" s="27"/>
    </row>
    <row r="4" spans="2:19" x14ac:dyDescent="0.3">
      <c r="B4" s="20"/>
      <c r="C4" s="20"/>
      <c r="D4" s="20"/>
      <c r="E4" s="53" t="s">
        <v>25</v>
      </c>
      <c r="F4" s="53"/>
      <c r="G4" s="53"/>
      <c r="H4" s="53"/>
      <c r="I4" s="53" t="s">
        <v>89</v>
      </c>
      <c r="J4" s="53"/>
      <c r="K4" s="53"/>
      <c r="L4" s="53"/>
    </row>
    <row r="5" spans="2:19" x14ac:dyDescent="0.3">
      <c r="B5" s="20" t="s">
        <v>27</v>
      </c>
      <c r="C5" s="20" t="s">
        <v>28</v>
      </c>
      <c r="D5" s="20" t="s">
        <v>29</v>
      </c>
      <c r="E5" s="21" t="s">
        <v>30</v>
      </c>
      <c r="F5" s="21" t="s">
        <v>31</v>
      </c>
      <c r="G5" s="21" t="s">
        <v>32</v>
      </c>
      <c r="H5" s="21" t="s">
        <v>33</v>
      </c>
      <c r="I5" s="20" t="s">
        <v>30</v>
      </c>
      <c r="J5" s="20" t="s">
        <v>31</v>
      </c>
      <c r="K5" s="20" t="s">
        <v>32</v>
      </c>
      <c r="L5" s="20" t="s">
        <v>33</v>
      </c>
    </row>
    <row r="6" spans="2:19" x14ac:dyDescent="0.3">
      <c r="B6" s="18" t="s">
        <v>34</v>
      </c>
      <c r="C6" s="18" t="s">
        <v>35</v>
      </c>
      <c r="D6" s="18" t="s">
        <v>36</v>
      </c>
      <c r="E6" s="19">
        <v>765.01</v>
      </c>
      <c r="F6" s="19">
        <v>765.01</v>
      </c>
      <c r="G6" s="19">
        <v>2991.43</v>
      </c>
      <c r="H6" s="19">
        <v>2991.43</v>
      </c>
      <c r="I6" s="22">
        <f>(E6/VLOOKUP($C6,$B$44:$E$52,4,0)*VLOOKUP($D6,$B$30:$E$38,4,0))*$J$2</f>
        <v>31.902548091950841</v>
      </c>
      <c r="J6" s="22">
        <f t="shared" ref="J6:J25" si="0">(F6/VLOOKUP($C6,$B$44:$E$52,4,0)*VLOOKUP($D6,$B$30:$E$38,4,0))*$J$2</f>
        <v>31.902548091950841</v>
      </c>
      <c r="K6" s="22">
        <f t="shared" ref="K6:K25" si="1">(G6/VLOOKUP($C6,$B$44:$E$52,4,0)*VLOOKUP($D6,$B$30:$E$38,4,0))*$J$2</f>
        <v>124.74900908315513</v>
      </c>
      <c r="L6" s="22">
        <f t="shared" ref="L6:L25" si="2">(H6/VLOOKUP($C6,$B$44:$E$52,4,0)*VLOOKUP($D6,$B$30:$E$38,4,0))*$J$2</f>
        <v>124.74900908315513</v>
      </c>
      <c r="N6" s="28"/>
    </row>
    <row r="7" spans="2:19" x14ac:dyDescent="0.3">
      <c r="B7" s="18" t="s">
        <v>37</v>
      </c>
      <c r="C7" s="18" t="s">
        <v>38</v>
      </c>
      <c r="D7" s="18" t="s">
        <v>39</v>
      </c>
      <c r="E7" s="19">
        <v>0.73199999999999998</v>
      </c>
      <c r="F7" s="19">
        <v>0.73199999999999998</v>
      </c>
      <c r="G7" s="19">
        <v>1.6060000000000001</v>
      </c>
      <c r="H7" s="19">
        <v>2.9060000000000001</v>
      </c>
      <c r="I7" s="22">
        <f t="shared" ref="I7:I24" si="3">(E7/VLOOKUP($C7,$B$44:$E$52,4,0)*VLOOKUP($D7,$B$30:$E$38,4,0))*$J$2</f>
        <v>32.723829881891994</v>
      </c>
      <c r="J7" s="22">
        <f t="shared" si="0"/>
        <v>32.723829881891994</v>
      </c>
      <c r="K7" s="22">
        <f t="shared" si="1"/>
        <v>71.795725123385992</v>
      </c>
      <c r="L7" s="22">
        <f t="shared" si="2"/>
        <v>129.91181644368598</v>
      </c>
    </row>
    <row r="8" spans="2:19" x14ac:dyDescent="0.3">
      <c r="B8" s="18" t="s">
        <v>40</v>
      </c>
      <c r="C8" s="18" t="s">
        <v>41</v>
      </c>
      <c r="D8" s="18" t="s">
        <v>39</v>
      </c>
      <c r="E8" s="19">
        <v>10.45</v>
      </c>
      <c r="F8" s="19">
        <v>15.82</v>
      </c>
      <c r="G8" s="19">
        <v>10.45</v>
      </c>
      <c r="H8" s="19">
        <v>14.23</v>
      </c>
      <c r="I8" s="22">
        <f t="shared" si="3"/>
        <v>62.66787820190887</v>
      </c>
      <c r="J8" s="22">
        <f t="shared" si="0"/>
        <v>94.871371593703188</v>
      </c>
      <c r="K8" s="22">
        <f t="shared" si="1"/>
        <v>62.66787820190887</v>
      </c>
      <c r="L8" s="22">
        <f t="shared" si="2"/>
        <v>85.336259025183097</v>
      </c>
    </row>
    <row r="9" spans="2:19" x14ac:dyDescent="0.3">
      <c r="B9" s="18" t="s">
        <v>42</v>
      </c>
      <c r="C9" s="18" t="s">
        <v>38</v>
      </c>
      <c r="D9" s="18" t="s">
        <v>39</v>
      </c>
      <c r="E9" s="19">
        <v>0.97799999999999998</v>
      </c>
      <c r="F9" s="19">
        <v>1.8839999999999999</v>
      </c>
      <c r="G9" s="19">
        <v>0.56699999999999995</v>
      </c>
      <c r="H9" s="19">
        <v>2.391</v>
      </c>
      <c r="I9" s="22">
        <f t="shared" si="3"/>
        <v>43.721182547117998</v>
      </c>
      <c r="J9" s="22">
        <f t="shared" si="0"/>
        <v>84.223627728803976</v>
      </c>
      <c r="K9" s="22">
        <f t="shared" si="1"/>
        <v>25.347556752776995</v>
      </c>
      <c r="L9" s="22">
        <f t="shared" si="2"/>
        <v>106.888903343721</v>
      </c>
    </row>
    <row r="10" spans="2:19" x14ac:dyDescent="0.3">
      <c r="B10" s="18" t="s">
        <v>43</v>
      </c>
      <c r="C10" s="18" t="s">
        <v>44</v>
      </c>
      <c r="D10" s="18" t="s">
        <v>39</v>
      </c>
      <c r="E10" s="19">
        <v>1483.63</v>
      </c>
      <c r="F10" s="19">
        <v>1483.63</v>
      </c>
      <c r="G10" s="19">
        <v>631.25</v>
      </c>
      <c r="H10" s="19">
        <v>2294.84</v>
      </c>
      <c r="I10" s="22">
        <f t="shared" si="3"/>
        <v>202.51354994571321</v>
      </c>
      <c r="J10" s="22">
        <f t="shared" si="0"/>
        <v>202.51354994571321</v>
      </c>
      <c r="K10" s="22">
        <f t="shared" si="1"/>
        <v>86.164797424716042</v>
      </c>
      <c r="L10" s="22">
        <f t="shared" si="2"/>
        <v>313.2426514410065</v>
      </c>
    </row>
    <row r="11" spans="2:19" x14ac:dyDescent="0.3">
      <c r="B11" s="18" t="s">
        <v>45</v>
      </c>
      <c r="C11" s="18" t="s">
        <v>46</v>
      </c>
      <c r="D11" s="18" t="s">
        <v>47</v>
      </c>
      <c r="E11" s="19">
        <v>1.1197900000000001</v>
      </c>
      <c r="F11" s="19">
        <v>1.1197900000000001</v>
      </c>
      <c r="G11" s="19">
        <v>1.1197900000000001</v>
      </c>
      <c r="H11" s="19">
        <v>1.1197900000000001</v>
      </c>
      <c r="I11" s="22">
        <f t="shared" si="3"/>
        <v>182.71848871799182</v>
      </c>
      <c r="J11" s="22">
        <f t="shared" si="0"/>
        <v>182.71848871799182</v>
      </c>
      <c r="K11" s="22">
        <f t="shared" si="1"/>
        <v>182.71848871799182</v>
      </c>
      <c r="L11" s="22">
        <f t="shared" si="2"/>
        <v>182.71848871799182</v>
      </c>
    </row>
    <row r="12" spans="2:19" x14ac:dyDescent="0.3">
      <c r="B12" s="18" t="s">
        <v>48</v>
      </c>
      <c r="C12" s="18" t="s">
        <v>46</v>
      </c>
      <c r="D12" s="18" t="s">
        <v>47</v>
      </c>
      <c r="E12" s="19">
        <v>1.18</v>
      </c>
      <c r="F12" s="19">
        <v>1.18</v>
      </c>
      <c r="G12" s="19">
        <v>1.01</v>
      </c>
      <c r="H12" s="19">
        <v>1.25</v>
      </c>
      <c r="I12" s="22">
        <f t="shared" si="3"/>
        <v>192.54308101271695</v>
      </c>
      <c r="J12" s="22">
        <f t="shared" si="0"/>
        <v>192.54308101271695</v>
      </c>
      <c r="K12" s="22">
        <f t="shared" si="1"/>
        <v>164.80382357868149</v>
      </c>
      <c r="L12" s="22">
        <f t="shared" si="2"/>
        <v>203.96512819143749</v>
      </c>
    </row>
    <row r="13" spans="2:19" x14ac:dyDescent="0.3">
      <c r="B13" s="18" t="s">
        <v>49</v>
      </c>
      <c r="C13" s="18" t="s">
        <v>38</v>
      </c>
      <c r="D13" s="18" t="s">
        <v>39</v>
      </c>
      <c r="E13" s="19">
        <v>2.64</v>
      </c>
      <c r="F13" s="19">
        <v>2.64</v>
      </c>
      <c r="G13" s="19">
        <v>2.66</v>
      </c>
      <c r="H13" s="19">
        <v>2.66</v>
      </c>
      <c r="I13" s="22">
        <f t="shared" si="3"/>
        <v>118.02037006583998</v>
      </c>
      <c r="J13" s="22">
        <f t="shared" si="0"/>
        <v>118.02037006583998</v>
      </c>
      <c r="K13" s="22">
        <f t="shared" si="1"/>
        <v>118.91446377845999</v>
      </c>
      <c r="L13" s="22">
        <f t="shared" si="2"/>
        <v>118.91446377845999</v>
      </c>
    </row>
    <row r="14" spans="2:19" x14ac:dyDescent="0.3">
      <c r="B14" s="18" t="s">
        <v>50</v>
      </c>
      <c r="C14" s="18" t="s">
        <v>38</v>
      </c>
      <c r="D14" s="18" t="s">
        <v>39</v>
      </c>
      <c r="E14" s="19">
        <v>2.8859669999999999</v>
      </c>
      <c r="F14" s="19">
        <v>2.8859669999999999</v>
      </c>
      <c r="G14" s="19">
        <v>2.8859669999999999</v>
      </c>
      <c r="H14" s="19">
        <v>2.8859669999999999</v>
      </c>
      <c r="I14" s="22">
        <f t="shared" si="3"/>
        <v>129.01624747644016</v>
      </c>
      <c r="J14" s="22">
        <f t="shared" si="0"/>
        <v>129.01624747644016</v>
      </c>
      <c r="K14" s="22">
        <f t="shared" si="1"/>
        <v>129.01624747644016</v>
      </c>
      <c r="L14" s="22">
        <f t="shared" si="2"/>
        <v>129.01624747644016</v>
      </c>
    </row>
    <row r="15" spans="2:19" x14ac:dyDescent="0.3">
      <c r="B15" s="18" t="s">
        <v>51</v>
      </c>
      <c r="C15" s="18" t="s">
        <v>38</v>
      </c>
      <c r="D15" s="18" t="s">
        <v>47</v>
      </c>
      <c r="E15" s="19">
        <v>5.0340000000000003E-3</v>
      </c>
      <c r="F15" s="19">
        <v>5.0340000000000003E-3</v>
      </c>
      <c r="G15" s="19">
        <v>5.0340000000000003E-3</v>
      </c>
      <c r="H15" s="19">
        <v>5.0340000000000003E-3</v>
      </c>
      <c r="I15" s="22">
        <f t="shared" si="3"/>
        <v>82.140836425255713</v>
      </c>
      <c r="J15" s="22">
        <f t="shared" si="0"/>
        <v>82.140836425255713</v>
      </c>
      <c r="K15" s="22">
        <f t="shared" si="1"/>
        <v>82.140836425255713</v>
      </c>
      <c r="L15" s="22">
        <f t="shared" si="2"/>
        <v>82.140836425255713</v>
      </c>
    </row>
    <row r="16" spans="2:19" x14ac:dyDescent="0.3">
      <c r="B16" s="18" t="s">
        <v>52</v>
      </c>
      <c r="C16" s="18" t="s">
        <v>53</v>
      </c>
      <c r="D16" s="18" t="s">
        <v>39</v>
      </c>
      <c r="E16" s="19">
        <v>0.3039</v>
      </c>
      <c r="F16" s="19">
        <v>0.3039</v>
      </c>
      <c r="G16" s="19">
        <v>0.16489999999999999</v>
      </c>
      <c r="H16" s="19">
        <v>0.16489999999999999</v>
      </c>
      <c r="I16" s="22">
        <f t="shared" si="3"/>
        <v>315.61013713843096</v>
      </c>
      <c r="J16" s="22">
        <f t="shared" si="0"/>
        <v>315.61013713843096</v>
      </c>
      <c r="K16" s="22">
        <f t="shared" si="1"/>
        <v>171.25406914816472</v>
      </c>
      <c r="L16" s="22">
        <f t="shared" si="2"/>
        <v>171.25406914816472</v>
      </c>
    </row>
    <row r="17" spans="2:12" x14ac:dyDescent="0.3">
      <c r="B17" s="18" t="s">
        <v>54</v>
      </c>
      <c r="C17" s="18" t="s">
        <v>55</v>
      </c>
      <c r="D17" s="18" t="s">
        <v>56</v>
      </c>
      <c r="E17" s="19">
        <v>1.2270000000000001</v>
      </c>
      <c r="F17" s="19">
        <v>1.2270000000000001</v>
      </c>
      <c r="G17" s="19">
        <v>1.2270000000000001</v>
      </c>
      <c r="H17" s="19">
        <v>1.2270000000000001</v>
      </c>
      <c r="I17" s="22">
        <f t="shared" si="3"/>
        <v>111.62691251185154</v>
      </c>
      <c r="J17" s="22">
        <f t="shared" si="0"/>
        <v>111.62691251185154</v>
      </c>
      <c r="K17" s="22">
        <f t="shared" si="1"/>
        <v>111.62691251185154</v>
      </c>
      <c r="L17" s="22">
        <f t="shared" si="2"/>
        <v>111.62691251185154</v>
      </c>
    </row>
    <row r="18" spans="2:12" x14ac:dyDescent="0.3">
      <c r="B18" s="18" t="s">
        <v>57</v>
      </c>
      <c r="C18" s="18" t="s">
        <v>38</v>
      </c>
      <c r="D18" s="18" t="s">
        <v>39</v>
      </c>
      <c r="E18" s="19">
        <v>0.77</v>
      </c>
      <c r="F18" s="19">
        <v>1.3</v>
      </c>
      <c r="G18" s="19">
        <v>1.1200000000000001</v>
      </c>
      <c r="H18" s="19">
        <v>4.63</v>
      </c>
      <c r="I18" s="22">
        <f t="shared" si="3"/>
        <v>34.422607935869998</v>
      </c>
      <c r="J18" s="22">
        <f t="shared" si="0"/>
        <v>58.116091320299994</v>
      </c>
      <c r="K18" s="22">
        <f t="shared" si="1"/>
        <v>50.069247906720001</v>
      </c>
      <c r="L18" s="22">
        <f t="shared" si="2"/>
        <v>206.98269447152998</v>
      </c>
    </row>
    <row r="19" spans="2:12" x14ac:dyDescent="0.3">
      <c r="B19" s="18" t="s">
        <v>58</v>
      </c>
      <c r="C19" s="18" t="s">
        <v>38</v>
      </c>
      <c r="D19" s="18" t="s">
        <v>59</v>
      </c>
      <c r="E19" s="19">
        <v>0.62795999999999996</v>
      </c>
      <c r="F19" s="19">
        <v>3.4554939999999998</v>
      </c>
      <c r="G19" s="19">
        <v>0.86499199999999998</v>
      </c>
      <c r="H19" s="19">
        <v>3.6809859999999999</v>
      </c>
      <c r="I19" s="22">
        <f t="shared" si="3"/>
        <v>64.166295745926291</v>
      </c>
      <c r="J19" s="22">
        <f t="shared" si="0"/>
        <v>353.08976678812962</v>
      </c>
      <c r="K19" s="22">
        <f t="shared" si="1"/>
        <v>88.386732419039888</v>
      </c>
      <c r="L19" s="22">
        <f t="shared" si="2"/>
        <v>376.13102158197063</v>
      </c>
    </row>
    <row r="20" spans="2:12" x14ac:dyDescent="0.3">
      <c r="B20" s="18" t="s">
        <v>60</v>
      </c>
      <c r="C20" s="18" t="s">
        <v>38</v>
      </c>
      <c r="D20" s="18" t="s">
        <v>36</v>
      </c>
      <c r="E20" s="19">
        <v>80.37</v>
      </c>
      <c r="F20" s="19">
        <v>103.32</v>
      </c>
      <c r="G20" s="19">
        <v>40.72</v>
      </c>
      <c r="H20" s="19">
        <v>400.61</v>
      </c>
      <c r="I20" s="22">
        <f t="shared" si="3"/>
        <v>86.229974019923276</v>
      </c>
      <c r="J20" s="22">
        <f t="shared" si="0"/>
        <v>110.85331486547807</v>
      </c>
      <c r="K20" s="22">
        <f t="shared" si="1"/>
        <v>43.688995173463674</v>
      </c>
      <c r="L20" s="22">
        <f t="shared" si="2"/>
        <v>429.81945865523784</v>
      </c>
    </row>
    <row r="21" spans="2:12" x14ac:dyDescent="0.3">
      <c r="B21" s="18" t="s">
        <v>61</v>
      </c>
      <c r="C21" s="18" t="s">
        <v>38</v>
      </c>
      <c r="D21" s="18" t="s">
        <v>62</v>
      </c>
      <c r="E21" s="19">
        <v>8.1900000000000001E-2</v>
      </c>
      <c r="F21" s="19">
        <v>0.11261</v>
      </c>
      <c r="G21" s="19">
        <v>9.0370000000000006E-2</v>
      </c>
      <c r="H21" s="19">
        <v>0.10134</v>
      </c>
      <c r="I21" s="22">
        <f t="shared" si="3"/>
        <v>87.871530076293595</v>
      </c>
      <c r="J21" s="22">
        <f t="shared" si="0"/>
        <v>120.82067157376584</v>
      </c>
      <c r="K21" s="22">
        <f t="shared" si="1"/>
        <v>96.95909857136327</v>
      </c>
      <c r="L21" s="22">
        <f t="shared" si="2"/>
        <v>108.72894820429295</v>
      </c>
    </row>
    <row r="22" spans="2:12" x14ac:dyDescent="0.3">
      <c r="B22" s="18" t="s">
        <v>63</v>
      </c>
      <c r="C22" s="18" t="s">
        <v>64</v>
      </c>
      <c r="D22" s="18" t="s">
        <v>65</v>
      </c>
      <c r="E22" s="19">
        <v>1.76</v>
      </c>
      <c r="F22" s="19">
        <v>1.76</v>
      </c>
      <c r="G22" s="19">
        <v>1.74</v>
      </c>
      <c r="H22" s="19">
        <v>1.74</v>
      </c>
      <c r="I22" s="22">
        <f t="shared" si="3"/>
        <v>148.79043606701356</v>
      </c>
      <c r="J22" s="22">
        <f t="shared" si="0"/>
        <v>148.79043606701356</v>
      </c>
      <c r="K22" s="22">
        <f t="shared" si="1"/>
        <v>147.09963565716112</v>
      </c>
      <c r="L22" s="22">
        <f t="shared" si="2"/>
        <v>147.09963565716112</v>
      </c>
    </row>
    <row r="23" spans="2:12" x14ac:dyDescent="0.3">
      <c r="B23" s="18" t="s">
        <v>66</v>
      </c>
      <c r="C23" s="18" t="s">
        <v>46</v>
      </c>
      <c r="D23" s="18" t="s">
        <v>67</v>
      </c>
      <c r="E23" s="19">
        <v>1.0848</v>
      </c>
      <c r="F23" s="19">
        <v>1.0848</v>
      </c>
      <c r="G23" s="19">
        <v>2.0059999999999998</v>
      </c>
      <c r="H23" s="19">
        <v>2.0059999999999998</v>
      </c>
      <c r="I23" s="22">
        <f t="shared" si="3"/>
        <v>139.66745176082532</v>
      </c>
      <c r="J23" s="22">
        <f t="shared" si="0"/>
        <v>139.66745176082532</v>
      </c>
      <c r="K23" s="22">
        <f t="shared" si="1"/>
        <v>258.27148620226365</v>
      </c>
      <c r="L23" s="22">
        <f t="shared" si="2"/>
        <v>258.27148620226365</v>
      </c>
    </row>
    <row r="24" spans="2:12" x14ac:dyDescent="0.3">
      <c r="B24" s="18" t="s">
        <v>68</v>
      </c>
      <c r="C24" s="18" t="s">
        <v>69</v>
      </c>
      <c r="D24" s="18" t="s">
        <v>36</v>
      </c>
      <c r="E24" s="19">
        <v>100.3355</v>
      </c>
      <c r="F24" s="19">
        <v>236.27250000000001</v>
      </c>
      <c r="G24" s="19">
        <v>55.404899999999998</v>
      </c>
      <c r="H24" s="19">
        <v>578.22029999999995</v>
      </c>
      <c r="I24" s="22">
        <f t="shared" si="3"/>
        <v>55.042032745219757</v>
      </c>
      <c r="J24" s="22">
        <f t="shared" si="0"/>
        <v>129.61433073832228</v>
      </c>
      <c r="K24" s="22">
        <f t="shared" si="1"/>
        <v>30.394011292569687</v>
      </c>
      <c r="L24" s="22">
        <f t="shared" si="2"/>
        <v>317.20000086261382</v>
      </c>
    </row>
    <row r="25" spans="2:12" x14ac:dyDescent="0.3">
      <c r="B25" s="18" t="s">
        <v>70</v>
      </c>
      <c r="C25" s="18" t="s">
        <v>38</v>
      </c>
      <c r="D25" s="18" t="s">
        <v>36</v>
      </c>
      <c r="E25" s="19">
        <v>93.340099999999993</v>
      </c>
      <c r="F25" s="19">
        <v>164.58</v>
      </c>
      <c r="G25" s="19">
        <v>145.01161999999999</v>
      </c>
      <c r="H25" s="19">
        <v>228.65</v>
      </c>
      <c r="I25" s="22">
        <f t="shared" ref="I25" si="4">(E25/VLOOKUP($C25,$B$44:$E$52,4,0)*VLOOKUP($D25,$B$30:$E$38,4,0))*$J$2</f>
        <v>100.14575585438646</v>
      </c>
      <c r="J25" s="22">
        <f t="shared" si="0"/>
        <v>176.57993186759953</v>
      </c>
      <c r="K25" s="22">
        <f t="shared" si="1"/>
        <v>155.58477323860876</v>
      </c>
      <c r="L25" s="22">
        <f t="shared" si="2"/>
        <v>245.32143286867557</v>
      </c>
    </row>
    <row r="26" spans="2:12" x14ac:dyDescent="0.3">
      <c r="B26" s="18"/>
      <c r="C26" s="18"/>
      <c r="D26" s="18"/>
      <c r="E26" s="18"/>
      <c r="F26" s="18"/>
      <c r="G26" s="18"/>
      <c r="H26" s="18"/>
      <c r="I26" s="22">
        <f>AVERAGE(I6:I24)</f>
        <v>111.65238896674641</v>
      </c>
      <c r="J26" s="22">
        <f>AVERAGE(J6:J24)</f>
        <v>138.88752966865394</v>
      </c>
      <c r="K26" s="22">
        <f>AVERAGE(K6:K24)</f>
        <v>107.68784291817735</v>
      </c>
      <c r="L26" s="22">
        <f>AVERAGE(L6:L24)</f>
        <v>189.68410690639067</v>
      </c>
    </row>
    <row r="27" spans="2:12" x14ac:dyDescent="0.3">
      <c r="B27" s="18" t="s">
        <v>71</v>
      </c>
      <c r="C27" s="18"/>
      <c r="D27" s="18"/>
      <c r="E27" s="18"/>
      <c r="F27" s="18"/>
      <c r="G27" s="18"/>
      <c r="H27" s="18"/>
      <c r="I27" s="22">
        <f>I26*1.1</f>
        <v>122.81762786342107</v>
      </c>
      <c r="J27" s="22">
        <f>0.34*365</f>
        <v>124.10000000000001</v>
      </c>
      <c r="K27" s="22">
        <f>K26*1.1</f>
        <v>118.45662720999509</v>
      </c>
      <c r="L27" s="22">
        <f>0.45*365</f>
        <v>164.25</v>
      </c>
    </row>
    <row r="28" spans="2:12" x14ac:dyDescent="0.3">
      <c r="B28" s="18"/>
      <c r="C28" s="18"/>
      <c r="D28" s="18"/>
      <c r="E28" s="18"/>
      <c r="F28" s="18"/>
      <c r="G28" s="18"/>
      <c r="H28" s="18"/>
      <c r="I28" s="22"/>
      <c r="J28" s="22"/>
      <c r="K28" s="22"/>
      <c r="L28" s="22"/>
    </row>
    <row r="29" spans="2:12" x14ac:dyDescent="0.3">
      <c r="B29" s="8" t="s">
        <v>72</v>
      </c>
      <c r="C29" s="8"/>
      <c r="D29" s="9"/>
      <c r="E29" s="9"/>
      <c r="I29" s="7">
        <f>'Tariff calculation'!O8</f>
        <v>175.34547093797661</v>
      </c>
      <c r="K29" s="7">
        <f>'Tariff calculation'!O9</f>
        <v>168.43916375510719</v>
      </c>
    </row>
    <row r="30" spans="2:12" x14ac:dyDescent="0.3">
      <c r="B30" s="10" t="s">
        <v>36</v>
      </c>
      <c r="C30" s="10"/>
      <c r="D30" s="11"/>
      <c r="E30" s="23">
        <v>1</v>
      </c>
    </row>
    <row r="31" spans="2:12" x14ac:dyDescent="0.3">
      <c r="B31" s="10" t="s">
        <v>62</v>
      </c>
      <c r="C31" s="10"/>
      <c r="D31" s="11"/>
      <c r="E31" s="12">
        <f>E30*1000</f>
        <v>1000</v>
      </c>
      <c r="I31" s="7">
        <f>IF(I29&gt;J27,J27,IF(AND(I29&lt;J27,I29&gt;I27),I29,I27))</f>
        <v>124.10000000000001</v>
      </c>
      <c r="K31" s="7">
        <f>IF(K29&gt;L27,L27,IF(AND(K29&lt;L27,K29&gt;K27),K29,K27))</f>
        <v>164.25</v>
      </c>
    </row>
    <row r="32" spans="2:12" x14ac:dyDescent="0.3">
      <c r="B32" s="10" t="s">
        <v>73</v>
      </c>
      <c r="C32" s="10"/>
      <c r="D32" s="11"/>
      <c r="E32" s="13">
        <f>E30/24</f>
        <v>4.1666666666666664E-2</v>
      </c>
    </row>
    <row r="33" spans="2:5" x14ac:dyDescent="0.3">
      <c r="B33" s="10" t="s">
        <v>39</v>
      </c>
      <c r="C33" s="10"/>
      <c r="D33" s="11"/>
      <c r="E33" s="12">
        <f>E30*1000/24</f>
        <v>41.666666666666664</v>
      </c>
    </row>
    <row r="34" spans="2:5" x14ac:dyDescent="0.3">
      <c r="B34" s="7" t="s">
        <v>59</v>
      </c>
      <c r="E34" s="14">
        <f>E31/E40</f>
        <v>95.238095238095241</v>
      </c>
    </row>
    <row r="35" spans="2:5" x14ac:dyDescent="0.3">
      <c r="B35" s="7" t="s">
        <v>47</v>
      </c>
      <c r="E35" s="14">
        <f>E33*365</f>
        <v>15208.333333333332</v>
      </c>
    </row>
    <row r="36" spans="2:5" x14ac:dyDescent="0.3">
      <c r="B36" s="7" t="s">
        <v>65</v>
      </c>
      <c r="E36" s="14">
        <f>E30*365</f>
        <v>365</v>
      </c>
    </row>
    <row r="37" spans="2:5" x14ac:dyDescent="0.3">
      <c r="B37" s="7" t="s">
        <v>56</v>
      </c>
      <c r="E37" s="14">
        <f>E30*365</f>
        <v>365</v>
      </c>
    </row>
    <row r="38" spans="2:5" x14ac:dyDescent="0.3">
      <c r="B38" s="7" t="s">
        <v>67</v>
      </c>
      <c r="E38" s="12">
        <f>E30*1000*12</f>
        <v>12000</v>
      </c>
    </row>
    <row r="40" spans="2:5" x14ac:dyDescent="0.3">
      <c r="B40" s="7" t="s">
        <v>74</v>
      </c>
      <c r="C40" s="7" t="s">
        <v>75</v>
      </c>
      <c r="E40" s="25">
        <v>10.5</v>
      </c>
    </row>
    <row r="43" spans="2:5" x14ac:dyDescent="0.3">
      <c r="B43" s="8" t="s">
        <v>76</v>
      </c>
      <c r="C43" s="8"/>
      <c r="D43" s="9"/>
      <c r="E43" s="9"/>
    </row>
    <row r="44" spans="2:5" x14ac:dyDescent="0.3">
      <c r="B44" s="10" t="s">
        <v>38</v>
      </c>
      <c r="C44" s="10"/>
      <c r="D44" s="11"/>
      <c r="E44" s="24">
        <v>1</v>
      </c>
    </row>
    <row r="45" spans="2:5" x14ac:dyDescent="0.3">
      <c r="B45" s="7" t="s">
        <v>35</v>
      </c>
      <c r="E45" s="25">
        <v>25.728000000000002</v>
      </c>
    </row>
    <row r="46" spans="2:5" x14ac:dyDescent="0.3">
      <c r="B46" s="7" t="s">
        <v>41</v>
      </c>
      <c r="E46" s="25">
        <v>7.4546000000000001</v>
      </c>
    </row>
    <row r="47" spans="2:5" x14ac:dyDescent="0.3">
      <c r="B47" s="7" t="s">
        <v>44</v>
      </c>
      <c r="E47" s="25">
        <v>327.51</v>
      </c>
    </row>
    <row r="48" spans="2:5" x14ac:dyDescent="0.3">
      <c r="B48" s="15" t="s">
        <v>46</v>
      </c>
      <c r="C48" s="16"/>
      <c r="D48" s="15"/>
      <c r="E48" s="17">
        <f>E44*100</f>
        <v>100</v>
      </c>
    </row>
    <row r="49" spans="2:5" x14ac:dyDescent="0.3">
      <c r="B49" s="10" t="s">
        <v>55</v>
      </c>
      <c r="C49" s="10"/>
      <c r="D49" s="11"/>
      <c r="E49" s="25">
        <v>4.3045999999999998</v>
      </c>
    </row>
    <row r="50" spans="2:5" x14ac:dyDescent="0.3">
      <c r="B50" s="7" t="s">
        <v>64</v>
      </c>
      <c r="E50" s="25">
        <v>4.6322799999999997</v>
      </c>
    </row>
    <row r="51" spans="2:5" x14ac:dyDescent="0.3">
      <c r="B51" s="7" t="s">
        <v>53</v>
      </c>
      <c r="E51" s="17">
        <f>E49/100</f>
        <v>4.3046000000000001E-2</v>
      </c>
    </row>
    <row r="52" spans="2:5" x14ac:dyDescent="0.3">
      <c r="B52" s="7" t="s">
        <v>69</v>
      </c>
      <c r="E52" s="25">
        <v>1.9558</v>
      </c>
    </row>
  </sheetData>
  <sheetProtection algorithmName="SHA-512" hashValue="TM795twj8t9ZmkUaGqBxK5jLiTELf+xWY0+Q/VsNR9qRPPQOTX1pxRM1MnHelvvrMDZWn1nGwFXXt/qD2nfdsA==" saltValue="wvn7XLGYrIp6aRynl8dW+g==" spinCount="100000" sheet="1" objects="1" scenarios="1" selectLockedCells="1"/>
  <mergeCells count="2">
    <mergeCell ref="E4:H4"/>
    <mergeCell ref="I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7"/>
  <sheetViews>
    <sheetView tabSelected="1" workbookViewId="0">
      <pane xSplit="7" ySplit="1" topLeftCell="H8" activePane="bottomRight" state="frozen"/>
      <selection pane="topRight" activeCell="H1" sqref="H1"/>
      <selection pane="bottomLeft" activeCell="A2" sqref="A2"/>
      <selection pane="bottomRight" activeCell="K32" sqref="K32"/>
    </sheetView>
  </sheetViews>
  <sheetFormatPr defaultRowHeight="14.4" x14ac:dyDescent="0.3"/>
  <cols>
    <col min="1" max="12" width="8.796875" style="37"/>
    <col min="13" max="14" width="14.3984375" style="37" bestFit="1" customWidth="1"/>
    <col min="15" max="19" width="8.796875" style="37"/>
    <col min="20" max="20" width="13.69921875" style="37" bestFit="1" customWidth="1"/>
    <col min="21" max="16384" width="8.796875" style="37"/>
  </cols>
  <sheetData>
    <row r="1" spans="1:57" s="34" customFormat="1" x14ac:dyDescent="0.3">
      <c r="A1" s="32"/>
      <c r="B1" s="32"/>
      <c r="C1" s="32"/>
      <c r="D1" s="32"/>
      <c r="E1" s="32"/>
      <c r="F1" s="32"/>
      <c r="G1" s="33" t="s">
        <v>0</v>
      </c>
      <c r="H1" s="33">
        <v>2015</v>
      </c>
      <c r="I1" s="33">
        <v>2016</v>
      </c>
      <c r="J1" s="33">
        <v>2017</v>
      </c>
      <c r="K1" s="33">
        <v>2018</v>
      </c>
      <c r="L1" s="33">
        <v>2019</v>
      </c>
      <c r="M1" s="33">
        <v>2020</v>
      </c>
      <c r="N1" s="33">
        <v>2021</v>
      </c>
      <c r="O1" s="33">
        <v>2022</v>
      </c>
      <c r="P1" s="33">
        <v>2023</v>
      </c>
      <c r="Q1" s="33">
        <v>2024</v>
      </c>
      <c r="R1" s="33">
        <v>2025</v>
      </c>
      <c r="S1" s="33">
        <v>2026</v>
      </c>
      <c r="T1" s="33" t="s">
        <v>1</v>
      </c>
      <c r="U1" s="33"/>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row>
    <row r="3" spans="1:57" x14ac:dyDescent="0.3">
      <c r="A3" s="35" t="s">
        <v>79</v>
      </c>
      <c r="B3" s="35"/>
      <c r="C3" s="35"/>
      <c r="D3" s="35"/>
      <c r="E3" s="35"/>
      <c r="F3" s="35"/>
      <c r="G3" s="36"/>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row>
    <row r="5" spans="1:57" x14ac:dyDescent="0.3">
      <c r="B5" s="37" t="s">
        <v>80</v>
      </c>
      <c r="G5" s="37" t="s">
        <v>7</v>
      </c>
      <c r="T5" s="44">
        <f>'input data'!T10*'input data'!T12</f>
        <v>333.38583312988158</v>
      </c>
    </row>
    <row r="6" spans="1:57" x14ac:dyDescent="0.3">
      <c r="B6" s="37" t="s">
        <v>81</v>
      </c>
      <c r="G6" s="37" t="s">
        <v>7</v>
      </c>
      <c r="T6" s="44">
        <f>'input data'!T10*'input data'!T13</f>
        <v>333.38583312988158</v>
      </c>
    </row>
    <row r="8" spans="1:57" x14ac:dyDescent="0.3">
      <c r="B8" s="37" t="s">
        <v>82</v>
      </c>
      <c r="G8" s="37" t="s">
        <v>26</v>
      </c>
      <c r="O8" s="44">
        <f>T5*1000000/'input data'!T17</f>
        <v>175.34547093797661</v>
      </c>
    </row>
    <row r="9" spans="1:57" x14ac:dyDescent="0.3">
      <c r="B9" s="37" t="s">
        <v>83</v>
      </c>
      <c r="G9" s="37" t="s">
        <v>26</v>
      </c>
      <c r="O9" s="44">
        <f>T6*1000000/'input data'!T26</f>
        <v>168.43916375510719</v>
      </c>
    </row>
    <row r="10" spans="1:57" x14ac:dyDescent="0.3">
      <c r="O10" s="44"/>
    </row>
    <row r="11" spans="1:57" x14ac:dyDescent="0.3">
      <c r="A11" s="35" t="s">
        <v>97</v>
      </c>
      <c r="B11" s="35"/>
      <c r="C11" s="35"/>
      <c r="D11" s="35"/>
      <c r="E11" s="35"/>
      <c r="F11" s="35"/>
      <c r="G11" s="36"/>
      <c r="H11" s="35"/>
      <c r="I11" s="35"/>
      <c r="J11" s="35"/>
      <c r="K11" s="35"/>
      <c r="L11" s="35"/>
      <c r="M11" s="35"/>
      <c r="N11" s="35"/>
      <c r="O11" s="52"/>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1:57" x14ac:dyDescent="0.3">
      <c r="O12" s="44"/>
    </row>
    <row r="13" spans="1:57" x14ac:dyDescent="0.3">
      <c r="B13" s="37" t="s">
        <v>84</v>
      </c>
      <c r="G13" s="37" t="s">
        <v>26</v>
      </c>
      <c r="O13" s="44">
        <f>'benchmarking data'!I31</f>
        <v>124.10000000000001</v>
      </c>
    </row>
    <row r="14" spans="1:57" x14ac:dyDescent="0.3">
      <c r="B14" s="37" t="s">
        <v>85</v>
      </c>
      <c r="G14" s="37" t="s">
        <v>26</v>
      </c>
      <c r="O14" s="44">
        <f>'benchmarking data'!K31</f>
        <v>164.25</v>
      </c>
    </row>
    <row r="16" spans="1:57" x14ac:dyDescent="0.3">
      <c r="B16" s="37" t="s">
        <v>86</v>
      </c>
      <c r="G16" s="37" t="s">
        <v>26</v>
      </c>
      <c r="P16" s="44">
        <f>O13+O13*'input data'!N7</f>
        <v>126.33380000000001</v>
      </c>
      <c r="Q16" s="44">
        <f>P16+P16*'input data'!O7</f>
        <v>128.60780840000001</v>
      </c>
      <c r="R16" s="44">
        <f>Q16+Q16*'input data'!P7</f>
        <v>130.92274895120002</v>
      </c>
      <c r="S16" s="44">
        <f>R16+R16*'input data'!Q7</f>
        <v>133.27935843232163</v>
      </c>
    </row>
    <row r="17" spans="1:57" x14ac:dyDescent="0.3">
      <c r="B17" s="37" t="s">
        <v>87</v>
      </c>
      <c r="G17" s="37" t="s">
        <v>26</v>
      </c>
      <c r="P17" s="44">
        <f>O14+O14*'input data'!N7</f>
        <v>167.20650000000001</v>
      </c>
      <c r="Q17" s="44">
        <f>P17+P17*'input data'!O7</f>
        <v>170.216217</v>
      </c>
      <c r="R17" s="44">
        <f>Q17+Q17*'input data'!P7</f>
        <v>173.28010890600001</v>
      </c>
      <c r="S17" s="44">
        <f>R17+R17*'input data'!Q7</f>
        <v>176.39915086630802</v>
      </c>
    </row>
    <row r="19" spans="1:57" x14ac:dyDescent="0.3">
      <c r="A19" s="35" t="s">
        <v>98</v>
      </c>
      <c r="B19" s="35"/>
      <c r="C19" s="35"/>
      <c r="D19" s="35"/>
      <c r="E19" s="35"/>
      <c r="F19" s="35"/>
      <c r="G19" s="36"/>
      <c r="H19" s="35"/>
      <c r="I19" s="35"/>
      <c r="J19" s="35"/>
      <c r="K19" s="35"/>
      <c r="L19" s="35"/>
      <c r="M19" s="35"/>
      <c r="N19" s="35"/>
      <c r="O19" s="52"/>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1" spans="1:57" x14ac:dyDescent="0.3">
      <c r="B21" s="46" t="s">
        <v>12</v>
      </c>
      <c r="C21" s="47"/>
      <c r="D21" s="47"/>
      <c r="E21" s="47"/>
      <c r="F21" s="47"/>
      <c r="G21" s="48"/>
      <c r="O21" s="49"/>
      <c r="P21" s="49"/>
      <c r="Q21" s="49"/>
      <c r="R21" s="49"/>
      <c r="S21" s="49"/>
      <c r="T21" s="49"/>
    </row>
    <row r="22" spans="1:57" x14ac:dyDescent="0.3">
      <c r="B22" s="34" t="s">
        <v>15</v>
      </c>
      <c r="G22" s="37" t="s">
        <v>26</v>
      </c>
      <c r="K22" s="54">
        <v>105.35</v>
      </c>
      <c r="L22" s="54">
        <v>106.24</v>
      </c>
      <c r="M22" s="55">
        <f>L22+L22*0.5*'input data'!K$6</f>
        <v>107.19615999999999</v>
      </c>
      <c r="N22" s="55">
        <f>M22+M22*0.5*'input data'!L$6</f>
        <v>108.16092543999999</v>
      </c>
      <c r="O22" s="51"/>
      <c r="P22" s="51"/>
      <c r="Q22" s="51"/>
      <c r="R22" s="51"/>
      <c r="S22" s="51"/>
      <c r="T22" s="51"/>
    </row>
    <row r="23" spans="1:57" x14ac:dyDescent="0.3">
      <c r="B23" s="34" t="s">
        <v>21</v>
      </c>
      <c r="G23" s="37" t="s">
        <v>26</v>
      </c>
      <c r="K23" s="54">
        <v>105.35</v>
      </c>
      <c r="L23" s="54">
        <v>106.25</v>
      </c>
      <c r="M23" s="55">
        <f>L23+L23*0.5*'input data'!K$6</f>
        <v>107.20625</v>
      </c>
      <c r="N23" s="55">
        <f>M23+M23*0.5*'input data'!L$6</f>
        <v>108.17110624999999</v>
      </c>
      <c r="O23" s="51"/>
      <c r="P23" s="51"/>
      <c r="Q23" s="51"/>
      <c r="R23" s="51"/>
      <c r="S23" s="51"/>
      <c r="T23" s="51"/>
    </row>
    <row r="24" spans="1:57" x14ac:dyDescent="0.3">
      <c r="B24" s="34" t="s">
        <v>17</v>
      </c>
      <c r="G24" s="37" t="s">
        <v>26</v>
      </c>
      <c r="J24" s="51"/>
      <c r="K24" s="54">
        <v>15.53</v>
      </c>
      <c r="L24" s="54">
        <v>15.66</v>
      </c>
      <c r="M24" s="55">
        <f>L24+L24*0.5*'input data'!K$6</f>
        <v>15.800940000000001</v>
      </c>
      <c r="N24" s="55">
        <f>M24+M24*0.5*'input data'!L$6</f>
        <v>15.943148460000002</v>
      </c>
      <c r="O24" s="51"/>
      <c r="P24" s="51"/>
      <c r="Q24" s="51"/>
      <c r="R24" s="51"/>
      <c r="S24" s="51"/>
      <c r="T24" s="51"/>
    </row>
    <row r="25" spans="1:57" x14ac:dyDescent="0.3">
      <c r="B25" s="34" t="s">
        <v>18</v>
      </c>
      <c r="G25" s="37" t="s">
        <v>26</v>
      </c>
      <c r="J25" s="51"/>
      <c r="K25" s="54">
        <v>108.5</v>
      </c>
      <c r="L25" s="54">
        <v>109.42</v>
      </c>
      <c r="M25" s="55">
        <f>L25+L25*0.5*'input data'!K$6</f>
        <v>110.40478</v>
      </c>
      <c r="N25" s="55">
        <f>M25+M25*0.5*'input data'!L$6</f>
        <v>111.39842302</v>
      </c>
      <c r="O25" s="51"/>
      <c r="P25" s="51"/>
      <c r="Q25" s="51"/>
      <c r="R25" s="51"/>
      <c r="S25" s="51"/>
      <c r="T25" s="51"/>
    </row>
    <row r="26" spans="1:57" x14ac:dyDescent="0.3">
      <c r="B26" s="34" t="s">
        <v>19</v>
      </c>
      <c r="G26" s="37" t="s">
        <v>26</v>
      </c>
      <c r="K26" s="54">
        <v>164.58</v>
      </c>
      <c r="L26" s="54">
        <v>165.98</v>
      </c>
      <c r="M26" s="55">
        <f>L26+L26*0.5*'input data'!K$6</f>
        <v>167.47381999999999</v>
      </c>
      <c r="N26" s="55">
        <f>M26+M26*0.5*'input data'!L$6</f>
        <v>168.98108438</v>
      </c>
      <c r="O26" s="51"/>
      <c r="P26" s="51"/>
      <c r="Q26" s="51"/>
      <c r="R26" s="51"/>
      <c r="S26" s="51"/>
      <c r="T26" s="51"/>
    </row>
    <row r="27" spans="1:57" x14ac:dyDescent="0.3">
      <c r="B27" s="34" t="s">
        <v>16</v>
      </c>
      <c r="G27" s="37" t="s">
        <v>26</v>
      </c>
      <c r="K27" s="54">
        <v>164.58</v>
      </c>
      <c r="L27" s="54">
        <v>165.98</v>
      </c>
      <c r="M27" s="55">
        <f>L27+L27*0.5*'input data'!K$6</f>
        <v>167.47381999999999</v>
      </c>
      <c r="N27" s="55">
        <f>M27+M27*0.5*'input data'!L$6</f>
        <v>168.98108438</v>
      </c>
      <c r="O27" s="51"/>
      <c r="P27" s="51"/>
      <c r="Q27" s="51"/>
      <c r="R27" s="51"/>
      <c r="S27" s="51"/>
      <c r="T27" s="51"/>
    </row>
    <row r="28" spans="1:57" x14ac:dyDescent="0.3">
      <c r="B28" s="34" t="s">
        <v>20</v>
      </c>
      <c r="G28" s="37" t="s">
        <v>26</v>
      </c>
      <c r="K28" s="54" t="s">
        <v>99</v>
      </c>
      <c r="L28" s="54" t="s">
        <v>99</v>
      </c>
      <c r="M28" s="55" t="s">
        <v>99</v>
      </c>
      <c r="N28" s="55" t="s">
        <v>99</v>
      </c>
      <c r="O28" s="51"/>
      <c r="P28" s="51"/>
      <c r="Q28" s="51"/>
      <c r="R28" s="51"/>
      <c r="S28" s="51"/>
      <c r="T28" s="51"/>
    </row>
    <row r="29" spans="1:57" x14ac:dyDescent="0.3">
      <c r="B29" s="34"/>
      <c r="G29" s="38"/>
      <c r="K29" s="55"/>
      <c r="L29" s="55"/>
      <c r="M29" s="55"/>
      <c r="N29" s="55"/>
    </row>
    <row r="30" spans="1:57" x14ac:dyDescent="0.3">
      <c r="B30" s="46" t="s">
        <v>14</v>
      </c>
      <c r="C30" s="47"/>
      <c r="D30" s="47"/>
      <c r="E30" s="47"/>
      <c r="F30" s="47"/>
      <c r="G30" s="48"/>
      <c r="K30" s="56"/>
      <c r="L30" s="56"/>
      <c r="M30" s="56"/>
      <c r="N30" s="56"/>
      <c r="O30" s="49"/>
      <c r="P30" s="49"/>
      <c r="Q30" s="49"/>
      <c r="R30" s="49"/>
      <c r="S30" s="49"/>
      <c r="T30" s="49"/>
    </row>
    <row r="31" spans="1:57" x14ac:dyDescent="0.3">
      <c r="B31" s="34" t="s">
        <v>15</v>
      </c>
      <c r="G31" s="37" t="s">
        <v>26</v>
      </c>
      <c r="K31" s="54">
        <v>163.66999999999999</v>
      </c>
      <c r="L31" s="54">
        <v>165.06</v>
      </c>
      <c r="M31" s="55">
        <f>L31+L31*0.5*'input data'!K$6</f>
        <v>166.54553999999999</v>
      </c>
      <c r="N31" s="55">
        <f>M31+M31*0.5*'input data'!L$6</f>
        <v>168.04444985999999</v>
      </c>
      <c r="O31" s="51"/>
      <c r="P31" s="51"/>
      <c r="Q31" s="51"/>
      <c r="R31" s="51"/>
      <c r="S31" s="51"/>
      <c r="T31" s="51"/>
    </row>
    <row r="32" spans="1:57" x14ac:dyDescent="0.3">
      <c r="B32" s="34" t="s">
        <v>21</v>
      </c>
      <c r="G32" s="37" t="s">
        <v>26</v>
      </c>
      <c r="K32" s="54">
        <v>186.14</v>
      </c>
      <c r="L32" s="54">
        <v>187.72</v>
      </c>
      <c r="M32" s="55">
        <f>L32+L32*0.5*'input data'!K$6</f>
        <v>189.40948</v>
      </c>
      <c r="N32" s="55">
        <f>M32+M32*0.5*'input data'!L$6</f>
        <v>191.11416532000001</v>
      </c>
      <c r="O32" s="51"/>
      <c r="P32" s="51"/>
      <c r="Q32" s="51"/>
      <c r="R32" s="51"/>
      <c r="S32" s="51"/>
      <c r="T32" s="51"/>
    </row>
    <row r="33" spans="2:20" x14ac:dyDescent="0.3">
      <c r="B33" s="34" t="s">
        <v>17</v>
      </c>
      <c r="G33" s="37" t="s">
        <v>26</v>
      </c>
      <c r="K33" s="54">
        <v>83.93</v>
      </c>
      <c r="L33" s="54">
        <v>84.64</v>
      </c>
      <c r="M33" s="55">
        <f>L33+L33*0.5*'input data'!K$6</f>
        <v>85.401759999999996</v>
      </c>
      <c r="N33" s="55">
        <f>M33+M33*0.5*'input data'!L$6</f>
        <v>86.170375839999991</v>
      </c>
      <c r="O33" s="51"/>
      <c r="P33" s="51"/>
      <c r="Q33" s="51"/>
      <c r="R33" s="51"/>
      <c r="S33" s="51"/>
      <c r="T33" s="51"/>
    </row>
    <row r="34" spans="2:20" x14ac:dyDescent="0.3">
      <c r="B34" s="34" t="s">
        <v>18</v>
      </c>
      <c r="G34" s="37" t="s">
        <v>26</v>
      </c>
      <c r="K34" s="54">
        <v>186.14</v>
      </c>
      <c r="L34" s="54">
        <v>187.72</v>
      </c>
      <c r="M34" s="55">
        <f>L34+L34*0.5*'input data'!K$6</f>
        <v>189.40948</v>
      </c>
      <c r="N34" s="55">
        <f>M34+M34*0.5*'input data'!L$6</f>
        <v>191.11416532000001</v>
      </c>
      <c r="O34" s="51"/>
      <c r="P34" s="51"/>
      <c r="Q34" s="51"/>
      <c r="R34" s="51"/>
      <c r="S34" s="51"/>
      <c r="T34" s="51"/>
    </row>
    <row r="35" spans="2:20" x14ac:dyDescent="0.3">
      <c r="B35" s="34" t="s">
        <v>19</v>
      </c>
      <c r="G35" s="37" t="s">
        <v>26</v>
      </c>
      <c r="K35" s="54">
        <v>228.65</v>
      </c>
      <c r="L35" s="54">
        <v>230.59</v>
      </c>
      <c r="M35" s="55">
        <f>L35+L35*0.5*'input data'!K$6</f>
        <v>232.66531000000001</v>
      </c>
      <c r="N35" s="55">
        <f>M35+M35*0.5*'input data'!L$6</f>
        <v>234.75929779000001</v>
      </c>
      <c r="O35" s="51"/>
      <c r="P35" s="51"/>
      <c r="Q35" s="51"/>
      <c r="R35" s="51"/>
      <c r="S35" s="51"/>
      <c r="T35" s="51"/>
    </row>
    <row r="36" spans="2:20" x14ac:dyDescent="0.3">
      <c r="B36" s="34" t="s">
        <v>16</v>
      </c>
      <c r="G36" s="37" t="s">
        <v>26</v>
      </c>
      <c r="K36" s="54">
        <v>228.65</v>
      </c>
      <c r="L36" s="54">
        <v>230.59</v>
      </c>
      <c r="M36" s="55">
        <f>L36+L36*0.5*'input data'!K$6</f>
        <v>232.66531000000001</v>
      </c>
      <c r="N36" s="55">
        <f>M36+M36*0.5*'input data'!L$6</f>
        <v>234.75929779000001</v>
      </c>
      <c r="O36" s="51"/>
      <c r="P36" s="51"/>
      <c r="Q36" s="51"/>
      <c r="R36" s="51"/>
      <c r="S36" s="51"/>
      <c r="T36" s="51"/>
    </row>
    <row r="37" spans="2:20" x14ac:dyDescent="0.3">
      <c r="B37" s="34" t="s">
        <v>20</v>
      </c>
      <c r="G37" s="37" t="s">
        <v>26</v>
      </c>
      <c r="K37" s="54" t="s">
        <v>99</v>
      </c>
      <c r="L37" s="54" t="s">
        <v>99</v>
      </c>
      <c r="M37" s="55" t="s">
        <v>99</v>
      </c>
      <c r="N37" s="55" t="s">
        <v>99</v>
      </c>
      <c r="O37" s="51"/>
      <c r="P37" s="51"/>
      <c r="Q37" s="51"/>
      <c r="R37" s="51"/>
      <c r="S37" s="51"/>
      <c r="T37" s="51"/>
    </row>
  </sheetData>
  <sheetProtection algorithmName="SHA-512" hashValue="uNufxbANVQi3fJPxAbRQWTwbPlfUGvvlgQWXzuR9TtZhrxzif5Y2Nib7i/84FZoAXuvZeTSP+wSUrFUG5aBm8g==" saltValue="Vv67JTlFc8VJz2D7TNBpiQ=="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introduction</vt:lpstr>
      <vt:lpstr>input data</vt:lpstr>
      <vt:lpstr>benchmarking data</vt:lpstr>
      <vt:lpstr>Tariff calculation</vt:lpstr>
    </vt:vector>
  </TitlesOfParts>
  <Company>eustream,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Ľalík Michal</dc:creator>
  <cp:lastModifiedBy>Ľalík Michal</cp:lastModifiedBy>
  <dcterms:created xsi:type="dcterms:W3CDTF">2018-09-11T07:12:58Z</dcterms:created>
  <dcterms:modified xsi:type="dcterms:W3CDTF">2018-12-14T13:50:00Z</dcterms:modified>
</cp:coreProperties>
</file>